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2" yWindow="-156" windowWidth="15312" windowHeight="8796" firstSheet="2" activeTab="2"/>
  </bookViews>
  <sheets>
    <sheet name="январь" sheetId="292" r:id="rId1"/>
    <sheet name="февраль" sheetId="294" r:id="rId2"/>
    <sheet name="декабрь" sheetId="305" r:id="rId3"/>
  </sheets>
  <definedNames>
    <definedName name="_xlnm.Print_Titles" localSheetId="2">декабрь!$4:$6</definedName>
    <definedName name="_xlnm.Print_Titles" localSheetId="1">февраль!$4:$6</definedName>
    <definedName name="_xlnm.Print_Titles" localSheetId="0">январь!$4:$6</definedName>
    <definedName name="_xlnm.Print_Area" localSheetId="2">декабрь!$A$1:$AC$216</definedName>
  </definedNames>
  <calcPr calcId="145621"/>
</workbook>
</file>

<file path=xl/calcChain.xml><?xml version="1.0" encoding="utf-8"?>
<calcChain xmlns="http://schemas.openxmlformats.org/spreadsheetml/2006/main">
  <c r="M11" i="305" l="1"/>
  <c r="AA206" i="305"/>
  <c r="M105" i="305"/>
  <c r="M194" i="305"/>
  <c r="M193" i="305"/>
  <c r="N193" i="305" s="1"/>
  <c r="M36" i="305"/>
  <c r="M199" i="305"/>
  <c r="M203" i="305"/>
  <c r="AB213" i="305"/>
  <c r="X206" i="305"/>
  <c r="W206" i="305"/>
  <c r="V206" i="305"/>
  <c r="U206" i="305"/>
  <c r="S206" i="305"/>
  <c r="R206" i="305"/>
  <c r="P206" i="305"/>
  <c r="L205" i="305"/>
  <c r="M204" i="305"/>
  <c r="N204" i="305" s="1"/>
  <c r="W203" i="305"/>
  <c r="V203" i="305"/>
  <c r="N203" i="305"/>
  <c r="U202" i="305"/>
  <c r="T202" i="305"/>
  <c r="S202" i="305"/>
  <c r="R202" i="305"/>
  <c r="Q202" i="305"/>
  <c r="P202" i="305"/>
  <c r="O202" i="305"/>
  <c r="M202" i="305"/>
  <c r="K202" i="305"/>
  <c r="N201" i="305"/>
  <c r="N200" i="305"/>
  <c r="N199" i="305"/>
  <c r="N198" i="305"/>
  <c r="AB197" i="305"/>
  <c r="AB205" i="305" s="1"/>
  <c r="AA197" i="305"/>
  <c r="Z197" i="305"/>
  <c r="Y197" i="305"/>
  <c r="X197" i="305"/>
  <c r="W197" i="305"/>
  <c r="V197" i="305"/>
  <c r="U197" i="305"/>
  <c r="T197" i="305"/>
  <c r="S197" i="305"/>
  <c r="R197" i="305"/>
  <c r="Q197" i="305"/>
  <c r="P197" i="305"/>
  <c r="O197" i="305"/>
  <c r="M197" i="305"/>
  <c r="K197" i="305"/>
  <c r="N196" i="305"/>
  <c r="N195" i="305"/>
  <c r="N194" i="305"/>
  <c r="N192" i="305"/>
  <c r="N191" i="305"/>
  <c r="M190" i="305"/>
  <c r="K190" i="305"/>
  <c r="K205" i="305" s="1"/>
  <c r="N189" i="305"/>
  <c r="N188" i="305"/>
  <c r="N187" i="305"/>
  <c r="N186" i="305"/>
  <c r="N185" i="305"/>
  <c r="N184" i="305"/>
  <c r="K183" i="305"/>
  <c r="N183" i="305" s="1"/>
  <c r="N182" i="305"/>
  <c r="N181" i="305"/>
  <c r="AA180" i="305"/>
  <c r="Z180" i="305"/>
  <c r="Y180" i="305"/>
  <c r="X180" i="305"/>
  <c r="W180" i="305"/>
  <c r="V180" i="305"/>
  <c r="U180" i="305"/>
  <c r="T180" i="305"/>
  <c r="S180" i="305"/>
  <c r="R180" i="305"/>
  <c r="Q180" i="305"/>
  <c r="P180" i="305"/>
  <c r="O180" i="305"/>
  <c r="N180" i="305"/>
  <c r="N179" i="305"/>
  <c r="N178" i="305"/>
  <c r="N177" i="305"/>
  <c r="N176" i="305"/>
  <c r="U175" i="305"/>
  <c r="T175" i="305"/>
  <c r="S175" i="305"/>
  <c r="R175" i="305"/>
  <c r="M175" i="305"/>
  <c r="N175" i="305" s="1"/>
  <c r="K175" i="305"/>
  <c r="N174" i="305"/>
  <c r="N173" i="305"/>
  <c r="N172" i="305"/>
  <c r="K171" i="305"/>
  <c r="N171" i="305" s="1"/>
  <c r="N170" i="305"/>
  <c r="K169" i="305"/>
  <c r="N169" i="305" s="1"/>
  <c r="N168" i="305"/>
  <c r="K167" i="305"/>
  <c r="N167" i="305" s="1"/>
  <c r="N166" i="305"/>
  <c r="N165" i="305"/>
  <c r="K164" i="305"/>
  <c r="N164" i="305" s="1"/>
  <c r="J164" i="305"/>
  <c r="N163" i="305"/>
  <c r="N162" i="305"/>
  <c r="AA161" i="305"/>
  <c r="AA190" i="305" s="1"/>
  <c r="AA205" i="305" s="1"/>
  <c r="Z161" i="305"/>
  <c r="Y161" i="305"/>
  <c r="X161" i="305"/>
  <c r="X190" i="305" s="1"/>
  <c r="X205" i="305" s="1"/>
  <c r="W161" i="305"/>
  <c r="W190" i="305" s="1"/>
  <c r="W205" i="305" s="1"/>
  <c r="V161" i="305"/>
  <c r="U161" i="305"/>
  <c r="T161" i="305"/>
  <c r="T190" i="305" s="1"/>
  <c r="T205" i="305" s="1"/>
  <c r="S161" i="305"/>
  <c r="S190" i="305" s="1"/>
  <c r="S205" i="305" s="1"/>
  <c r="R161" i="305"/>
  <c r="Q161" i="305"/>
  <c r="P161" i="305"/>
  <c r="P190" i="305" s="1"/>
  <c r="P205" i="305" s="1"/>
  <c r="O161" i="305"/>
  <c r="O190" i="305" s="1"/>
  <c r="O205" i="305" s="1"/>
  <c r="J160" i="305"/>
  <c r="AB159" i="305"/>
  <c r="AA159" i="305"/>
  <c r="Z159" i="305"/>
  <c r="Y159" i="305"/>
  <c r="X159" i="305"/>
  <c r="W159" i="305"/>
  <c r="V159" i="305"/>
  <c r="U159" i="305"/>
  <c r="T159" i="305"/>
  <c r="S159" i="305"/>
  <c r="R159" i="305"/>
  <c r="Q159" i="305"/>
  <c r="P159" i="305"/>
  <c r="N158" i="305"/>
  <c r="J158" i="305"/>
  <c r="N157" i="305"/>
  <c r="J157" i="305"/>
  <c r="N156" i="305"/>
  <c r="J156" i="305"/>
  <c r="N155" i="305"/>
  <c r="J155" i="305"/>
  <c r="N154" i="305"/>
  <c r="J154" i="305"/>
  <c r="N153" i="305"/>
  <c r="J153" i="305"/>
  <c r="N152" i="305"/>
  <c r="J152" i="305"/>
  <c r="N151" i="305"/>
  <c r="J151" i="305"/>
  <c r="N150" i="305"/>
  <c r="N149" i="305"/>
  <c r="N148" i="305"/>
  <c r="N147" i="305"/>
  <c r="N146" i="305"/>
  <c r="N145" i="305"/>
  <c r="N144" i="305"/>
  <c r="N143" i="305"/>
  <c r="J143" i="305"/>
  <c r="K142" i="305"/>
  <c r="N142" i="305" s="1"/>
  <c r="N141" i="305"/>
  <c r="J141" i="305"/>
  <c r="N140" i="305"/>
  <c r="J140" i="305"/>
  <c r="N139" i="305"/>
  <c r="N138" i="305"/>
  <c r="N137" i="305"/>
  <c r="N136" i="305"/>
  <c r="N135" i="305"/>
  <c r="J135" i="305"/>
  <c r="N134" i="305"/>
  <c r="N133" i="305"/>
  <c r="J133" i="305"/>
  <c r="N132" i="305"/>
  <c r="N131" i="305"/>
  <c r="J131" i="305"/>
  <c r="N130" i="305"/>
  <c r="N129" i="305"/>
  <c r="J129" i="305"/>
  <c r="J122" i="305" s="1"/>
  <c r="K128" i="305"/>
  <c r="N128" i="305" s="1"/>
  <c r="N127" i="305"/>
  <c r="K126" i="305"/>
  <c r="N126" i="305" s="1"/>
  <c r="J126" i="305"/>
  <c r="N125" i="305"/>
  <c r="N124" i="305"/>
  <c r="N123" i="305"/>
  <c r="J123" i="305"/>
  <c r="O122" i="305"/>
  <c r="M122" i="305"/>
  <c r="L122" i="305"/>
  <c r="L116" i="305" s="1"/>
  <c r="H122" i="305"/>
  <c r="G122" i="305"/>
  <c r="F122" i="305"/>
  <c r="F116" i="305" s="1"/>
  <c r="J121" i="305"/>
  <c r="J119" i="305"/>
  <c r="N118" i="305"/>
  <c r="N117" i="305" s="1"/>
  <c r="J118" i="305"/>
  <c r="J117" i="305" s="1"/>
  <c r="O117" i="305"/>
  <c r="M117" i="305"/>
  <c r="L117" i="305"/>
  <c r="K117" i="305"/>
  <c r="H117" i="305"/>
  <c r="G117" i="305"/>
  <c r="G116" i="305" s="1"/>
  <c r="F117" i="305"/>
  <c r="O116" i="305"/>
  <c r="N115" i="305"/>
  <c r="K115" i="305"/>
  <c r="N114" i="305"/>
  <c r="J114" i="305"/>
  <c r="N113" i="305"/>
  <c r="N112" i="305"/>
  <c r="N111" i="305"/>
  <c r="N110" i="305"/>
  <c r="J110" i="305"/>
  <c r="N109" i="305"/>
  <c r="N108" i="305"/>
  <c r="N107" i="305"/>
  <c r="N106" i="305"/>
  <c r="J106" i="305"/>
  <c r="O105" i="305"/>
  <c r="L105" i="305"/>
  <c r="K105" i="305"/>
  <c r="H105" i="305"/>
  <c r="G105" i="305"/>
  <c r="F105" i="305"/>
  <c r="N104" i="305"/>
  <c r="N103" i="305"/>
  <c r="N102" i="305"/>
  <c r="K101" i="305"/>
  <c r="N101" i="305" s="1"/>
  <c r="N100" i="305"/>
  <c r="N99" i="305"/>
  <c r="N98" i="305"/>
  <c r="N97" i="305"/>
  <c r="N96" i="305"/>
  <c r="N95" i="305"/>
  <c r="N94" i="305"/>
  <c r="N93" i="305"/>
  <c r="N92" i="305"/>
  <c r="N91" i="305"/>
  <c r="N90" i="305"/>
  <c r="J90" i="305"/>
  <c r="N89" i="305"/>
  <c r="N88" i="305"/>
  <c r="N87" i="305"/>
  <c r="N86" i="305"/>
  <c r="N85" i="305"/>
  <c r="J85" i="305"/>
  <c r="N84" i="305"/>
  <c r="J84" i="305"/>
  <c r="N83" i="305"/>
  <c r="N82" i="305"/>
  <c r="N81" i="305"/>
  <c r="K80" i="305"/>
  <c r="K67" i="305" s="1"/>
  <c r="J80" i="305"/>
  <c r="N79" i="305"/>
  <c r="J79" i="305"/>
  <c r="N78" i="305"/>
  <c r="J78" i="305"/>
  <c r="N77" i="305"/>
  <c r="N76" i="305"/>
  <c r="J76" i="305"/>
  <c r="N75" i="305"/>
  <c r="J75" i="305"/>
  <c r="N74" i="305"/>
  <c r="J74" i="305"/>
  <c r="N73" i="305"/>
  <c r="N72" i="305"/>
  <c r="N71" i="305"/>
  <c r="N70" i="305"/>
  <c r="J68" i="305"/>
  <c r="O67" i="305"/>
  <c r="M67" i="305"/>
  <c r="L67" i="305"/>
  <c r="H67" i="305"/>
  <c r="G67" i="305"/>
  <c r="F67" i="305"/>
  <c r="N66" i="305"/>
  <c r="N65" i="305"/>
  <c r="N64" i="305"/>
  <c r="N63" i="305"/>
  <c r="N62" i="305"/>
  <c r="N61" i="305"/>
  <c r="N60" i="305"/>
  <c r="N59" i="305"/>
  <c r="N58" i="305"/>
  <c r="N57" i="305"/>
  <c r="N56" i="305"/>
  <c r="N55" i="305"/>
  <c r="N54" i="305"/>
  <c r="N53" i="305"/>
  <c r="N52" i="305"/>
  <c r="N51" i="305"/>
  <c r="N50" i="305"/>
  <c r="J50" i="305"/>
  <c r="J36" i="305" s="1"/>
  <c r="N49" i="305"/>
  <c r="N48" i="305"/>
  <c r="N47" i="305"/>
  <c r="N46" i="305"/>
  <c r="J46" i="305"/>
  <c r="N45" i="305"/>
  <c r="J45" i="305"/>
  <c r="N44" i="305"/>
  <c r="N43" i="305"/>
  <c r="N42" i="305"/>
  <c r="N41" i="305"/>
  <c r="J41" i="305"/>
  <c r="N40" i="305"/>
  <c r="N39" i="305"/>
  <c r="J39" i="305"/>
  <c r="N38" i="305"/>
  <c r="N37" i="305"/>
  <c r="O36" i="305"/>
  <c r="L36" i="305"/>
  <c r="K36" i="305"/>
  <c r="H36" i="305"/>
  <c r="G36" i="305"/>
  <c r="F36" i="305"/>
  <c r="N34" i="305"/>
  <c r="N33" i="305" s="1"/>
  <c r="M33" i="305"/>
  <c r="L33" i="305"/>
  <c r="K33" i="305"/>
  <c r="J33" i="305"/>
  <c r="H33" i="305"/>
  <c r="G33" i="305"/>
  <c r="F33" i="305"/>
  <c r="N32" i="305"/>
  <c r="N31" i="305"/>
  <c r="N30" i="305"/>
  <c r="O29" i="305"/>
  <c r="M29" i="305"/>
  <c r="L29" i="305"/>
  <c r="K29" i="305"/>
  <c r="J29" i="305"/>
  <c r="H29" i="305"/>
  <c r="G29" i="305"/>
  <c r="F29" i="305"/>
  <c r="N28" i="305"/>
  <c r="K28" i="305"/>
  <c r="J28" i="305"/>
  <c r="N27" i="305"/>
  <c r="J27" i="305"/>
  <c r="N26" i="305"/>
  <c r="N25" i="305"/>
  <c r="N24" i="305"/>
  <c r="N23" i="305"/>
  <c r="K23" i="305"/>
  <c r="K22" i="305" s="1"/>
  <c r="J23" i="305"/>
  <c r="O22" i="305"/>
  <c r="M22" i="305"/>
  <c r="L22" i="305"/>
  <c r="H22" i="305"/>
  <c r="G22" i="305"/>
  <c r="F22" i="305"/>
  <c r="N21" i="305"/>
  <c r="N20" i="305"/>
  <c r="N19" i="305"/>
  <c r="N18" i="305"/>
  <c r="N17" i="305"/>
  <c r="N16" i="305"/>
  <c r="J16" i="305"/>
  <c r="N15" i="305"/>
  <c r="J15" i="305"/>
  <c r="N14" i="305"/>
  <c r="J14" i="305"/>
  <c r="O13" i="305"/>
  <c r="M13" i="305"/>
  <c r="L13" i="305"/>
  <c r="K13" i="305"/>
  <c r="H13" i="305"/>
  <c r="G13" i="305"/>
  <c r="F13" i="305"/>
  <c r="N11" i="305"/>
  <c r="J11" i="305"/>
  <c r="J7" i="305" s="1"/>
  <c r="N10" i="305"/>
  <c r="J10" i="305"/>
  <c r="N8" i="305"/>
  <c r="O7" i="305"/>
  <c r="M7" i="305"/>
  <c r="L7" i="305"/>
  <c r="K7" i="305"/>
  <c r="H7" i="305"/>
  <c r="G7" i="305"/>
  <c r="F7" i="305"/>
  <c r="J67" i="305" l="1"/>
  <c r="J116" i="305"/>
  <c r="N80" i="305"/>
  <c r="H116" i="305"/>
  <c r="J105" i="305"/>
  <c r="R190" i="305"/>
  <c r="R205" i="305" s="1"/>
  <c r="V190" i="305"/>
  <c r="V205" i="305" s="1"/>
  <c r="Z190" i="305"/>
  <c r="Z205" i="305" s="1"/>
  <c r="AB211" i="305"/>
  <c r="F12" i="305"/>
  <c r="F159" i="305" s="1"/>
  <c r="L12" i="305"/>
  <c r="L159" i="305" s="1"/>
  <c r="L206" i="305" s="1"/>
  <c r="J13" i="305"/>
  <c r="G12" i="305"/>
  <c r="G159" i="305" s="1"/>
  <c r="H12" i="305"/>
  <c r="H159" i="305" s="1"/>
  <c r="J22" i="305"/>
  <c r="Q190" i="305"/>
  <c r="Q205" i="305" s="1"/>
  <c r="U190" i="305"/>
  <c r="U205" i="305" s="1"/>
  <c r="Y190" i="305"/>
  <c r="Y205" i="305" s="1"/>
  <c r="N22" i="305"/>
  <c r="N161" i="305"/>
  <c r="N190" i="305" s="1"/>
  <c r="O12" i="305"/>
  <c r="O159" i="305" s="1"/>
  <c r="O206" i="305" s="1"/>
  <c r="M205" i="305"/>
  <c r="N122" i="305"/>
  <c r="N116" i="305" s="1"/>
  <c r="M116" i="305"/>
  <c r="N105" i="305"/>
  <c r="N36" i="305"/>
  <c r="N197" i="305"/>
  <c r="AB214" i="305"/>
  <c r="N202" i="305"/>
  <c r="N29" i="305"/>
  <c r="K12" i="305"/>
  <c r="N67" i="305"/>
  <c r="N13" i="305"/>
  <c r="M12" i="305"/>
  <c r="N7" i="305"/>
  <c r="J12" i="305"/>
  <c r="K122" i="305"/>
  <c r="K116" i="305" s="1"/>
  <c r="M20" i="294"/>
  <c r="M13" i="294" s="1"/>
  <c r="M31" i="294"/>
  <c r="M184" i="294"/>
  <c r="Z203" i="294"/>
  <c r="P196" i="294"/>
  <c r="AB201" i="294" s="1"/>
  <c r="L195" i="294"/>
  <c r="AB194" i="294"/>
  <c r="N194" i="294"/>
  <c r="AB193" i="294"/>
  <c r="N193" i="294"/>
  <c r="AB192" i="294"/>
  <c r="K192" i="294"/>
  <c r="N192" i="294" s="1"/>
  <c r="AB191" i="294"/>
  <c r="N191" i="294"/>
  <c r="AB190" i="294"/>
  <c r="N190" i="294"/>
  <c r="AB189" i="294"/>
  <c r="K189" i="294"/>
  <c r="N189" i="294" s="1"/>
  <c r="AB188" i="294"/>
  <c r="K188" i="294"/>
  <c r="N188" i="294" s="1"/>
  <c r="N187" i="294"/>
  <c r="N186" i="294"/>
  <c r="AB185" i="294"/>
  <c r="N185" i="294"/>
  <c r="N183" i="294"/>
  <c r="N182" i="294"/>
  <c r="N181" i="294"/>
  <c r="N180" i="294"/>
  <c r="N179" i="294"/>
  <c r="N178" i="294"/>
  <c r="K177" i="294"/>
  <c r="N177" i="294" s="1"/>
  <c r="N176" i="294"/>
  <c r="N175" i="294"/>
  <c r="AA174" i="294"/>
  <c r="Z174" i="294"/>
  <c r="Y174" i="294"/>
  <c r="X174" i="294"/>
  <c r="W174" i="294"/>
  <c r="V174" i="294"/>
  <c r="U174" i="294"/>
  <c r="T174" i="294"/>
  <c r="S174" i="294"/>
  <c r="R174" i="294"/>
  <c r="Q174" i="294"/>
  <c r="P174" i="294"/>
  <c r="O174" i="294"/>
  <c r="N173" i="294"/>
  <c r="N172" i="294"/>
  <c r="N171" i="294"/>
  <c r="N170" i="294"/>
  <c r="U169" i="294"/>
  <c r="T169" i="294"/>
  <c r="S169" i="294"/>
  <c r="R169" i="294"/>
  <c r="M169" i="294"/>
  <c r="K169" i="294"/>
  <c r="N168" i="294"/>
  <c r="N167" i="294"/>
  <c r="N166" i="294"/>
  <c r="K165" i="294"/>
  <c r="N165" i="294" s="1"/>
  <c r="N164" i="294"/>
  <c r="K163" i="294"/>
  <c r="N163" i="294" s="1"/>
  <c r="N162" i="294"/>
  <c r="K161" i="294"/>
  <c r="N161" i="294" s="1"/>
  <c r="N160" i="294"/>
  <c r="N159" i="294"/>
  <c r="K158" i="294"/>
  <c r="N158" i="294" s="1"/>
  <c r="J158" i="294"/>
  <c r="N157" i="294"/>
  <c r="N156" i="294"/>
  <c r="AA155" i="294"/>
  <c r="Z155" i="294"/>
  <c r="Y155" i="294"/>
  <c r="X155" i="294"/>
  <c r="W155" i="294"/>
  <c r="V155" i="294"/>
  <c r="U155" i="294"/>
  <c r="T155" i="294"/>
  <c r="S155" i="294"/>
  <c r="R155" i="294"/>
  <c r="Q155" i="294"/>
  <c r="P155" i="294"/>
  <c r="O155" i="294"/>
  <c r="K155" i="294"/>
  <c r="K184" i="294" s="1"/>
  <c r="J154" i="294"/>
  <c r="AB153" i="294"/>
  <c r="AA153" i="294"/>
  <c r="Z153" i="294"/>
  <c r="Y153" i="294"/>
  <c r="X153" i="294"/>
  <c r="W153" i="294"/>
  <c r="V153" i="294"/>
  <c r="U153" i="294"/>
  <c r="T153" i="294"/>
  <c r="S153" i="294"/>
  <c r="R153" i="294"/>
  <c r="Q153" i="294"/>
  <c r="P153" i="294"/>
  <c r="N152" i="294"/>
  <c r="J152" i="294"/>
  <c r="N151" i="294"/>
  <c r="J151" i="294"/>
  <c r="N150" i="294"/>
  <c r="J150" i="294"/>
  <c r="N149" i="294"/>
  <c r="J149" i="294"/>
  <c r="N148" i="294"/>
  <c r="J148" i="294"/>
  <c r="N147" i="294"/>
  <c r="J147" i="294"/>
  <c r="N146" i="294"/>
  <c r="J146" i="294"/>
  <c r="N145" i="294"/>
  <c r="J145" i="294"/>
  <c r="N144" i="294"/>
  <c r="N143" i="294"/>
  <c r="N142" i="294"/>
  <c r="N141" i="294"/>
  <c r="N140" i="294"/>
  <c r="N139" i="294"/>
  <c r="N138" i="294"/>
  <c r="N137" i="294"/>
  <c r="J137" i="294"/>
  <c r="K136" i="294"/>
  <c r="N136" i="294" s="1"/>
  <c r="N135" i="294"/>
  <c r="J135" i="294"/>
  <c r="N134" i="294"/>
  <c r="J134" i="294"/>
  <c r="N133" i="294"/>
  <c r="N132" i="294"/>
  <c r="N131" i="294"/>
  <c r="N130" i="294"/>
  <c r="N129" i="294"/>
  <c r="J129" i="294"/>
  <c r="N128" i="294"/>
  <c r="N127" i="294"/>
  <c r="J127" i="294"/>
  <c r="N126" i="294"/>
  <c r="N125" i="294"/>
  <c r="J125" i="294"/>
  <c r="N124" i="294"/>
  <c r="N123" i="294"/>
  <c r="J123" i="294"/>
  <c r="K122" i="294"/>
  <c r="N122" i="294" s="1"/>
  <c r="K121" i="294"/>
  <c r="N121" i="294" s="1"/>
  <c r="J121" i="294"/>
  <c r="N120" i="294"/>
  <c r="N119" i="294"/>
  <c r="N118" i="294"/>
  <c r="J118" i="294"/>
  <c r="O117" i="294"/>
  <c r="M117" i="294"/>
  <c r="L117" i="294"/>
  <c r="H117" i="294"/>
  <c r="G117" i="294"/>
  <c r="F117" i="294"/>
  <c r="J116" i="294"/>
  <c r="J114" i="294"/>
  <c r="N113" i="294"/>
  <c r="N112" i="294" s="1"/>
  <c r="J113" i="294"/>
  <c r="O112" i="294"/>
  <c r="M112" i="294"/>
  <c r="L112" i="294"/>
  <c r="K112" i="294"/>
  <c r="H112" i="294"/>
  <c r="G112" i="294"/>
  <c r="G111" i="294" s="1"/>
  <c r="F112" i="294"/>
  <c r="K110" i="294"/>
  <c r="N110" i="294" s="1"/>
  <c r="N109" i="294"/>
  <c r="J109" i="294"/>
  <c r="N108" i="294"/>
  <c r="N107" i="294"/>
  <c r="N106" i="294"/>
  <c r="J106" i="294"/>
  <c r="N105" i="294"/>
  <c r="N104" i="294"/>
  <c r="N103" i="294"/>
  <c r="N102" i="294"/>
  <c r="J102" i="294"/>
  <c r="O101" i="294"/>
  <c r="M101" i="294"/>
  <c r="L101" i="294"/>
  <c r="H101" i="294"/>
  <c r="G101" i="294"/>
  <c r="F101" i="294"/>
  <c r="N100" i="294"/>
  <c r="N99" i="294"/>
  <c r="K98" i="294"/>
  <c r="N98" i="294" s="1"/>
  <c r="N97" i="294"/>
  <c r="N96" i="294"/>
  <c r="N95" i="294"/>
  <c r="N94" i="294"/>
  <c r="N93" i="294"/>
  <c r="N92" i="294"/>
  <c r="N91" i="294"/>
  <c r="N90" i="294"/>
  <c r="J90" i="294"/>
  <c r="N89" i="294"/>
  <c r="N88" i="294"/>
  <c r="N87" i="294"/>
  <c r="N86" i="294"/>
  <c r="N85" i="294"/>
  <c r="J85" i="294"/>
  <c r="N84" i="294"/>
  <c r="J84" i="294"/>
  <c r="N83" i="294"/>
  <c r="N82" i="294"/>
  <c r="N81" i="294"/>
  <c r="K80" i="294"/>
  <c r="N80" i="294" s="1"/>
  <c r="J80" i="294"/>
  <c r="N79" i="294"/>
  <c r="J79" i="294"/>
  <c r="N78" i="294"/>
  <c r="J78" i="294"/>
  <c r="N77" i="294"/>
  <c r="N76" i="294"/>
  <c r="J76" i="294"/>
  <c r="N75" i="294"/>
  <c r="J75" i="294"/>
  <c r="N74" i="294"/>
  <c r="J74" i="294"/>
  <c r="N73" i="294"/>
  <c r="N72" i="294"/>
  <c r="N71" i="294"/>
  <c r="N70" i="294"/>
  <c r="J68" i="294"/>
  <c r="O67" i="294"/>
  <c r="M67" i="294"/>
  <c r="L67" i="294"/>
  <c r="H67" i="294"/>
  <c r="G67" i="294"/>
  <c r="F67" i="294"/>
  <c r="N66" i="294"/>
  <c r="N65" i="294"/>
  <c r="N64" i="294"/>
  <c r="N63" i="294"/>
  <c r="N62" i="294"/>
  <c r="N61" i="294"/>
  <c r="N60" i="294"/>
  <c r="N59" i="294"/>
  <c r="N58" i="294"/>
  <c r="N57" i="294"/>
  <c r="N56" i="294"/>
  <c r="N55" i="294"/>
  <c r="N54" i="294"/>
  <c r="N53" i="294"/>
  <c r="N52" i="294"/>
  <c r="N51" i="294"/>
  <c r="N50" i="294"/>
  <c r="J50" i="294"/>
  <c r="J36" i="294" s="1"/>
  <c r="N49" i="294"/>
  <c r="N48" i="294"/>
  <c r="N47" i="294"/>
  <c r="N46" i="294"/>
  <c r="J46" i="294"/>
  <c r="N45" i="294"/>
  <c r="J45" i="294"/>
  <c r="N44" i="294"/>
  <c r="N43" i="294"/>
  <c r="N42" i="294"/>
  <c r="N41" i="294"/>
  <c r="J41" i="294"/>
  <c r="N39" i="294"/>
  <c r="J39" i="294"/>
  <c r="N38" i="294"/>
  <c r="N37" i="294"/>
  <c r="O36" i="294"/>
  <c r="M36" i="294"/>
  <c r="L36" i="294"/>
  <c r="K36" i="294"/>
  <c r="H36" i="294"/>
  <c r="G36" i="294"/>
  <c r="F36" i="294"/>
  <c r="N34" i="294"/>
  <c r="N33" i="294" s="1"/>
  <c r="M33" i="294"/>
  <c r="L33" i="294"/>
  <c r="K33" i="294"/>
  <c r="J33" i="294"/>
  <c r="H33" i="294"/>
  <c r="G33" i="294"/>
  <c r="F33" i="294"/>
  <c r="N32" i="294"/>
  <c r="N31" i="294"/>
  <c r="N30" i="294"/>
  <c r="O29" i="294"/>
  <c r="M29" i="294"/>
  <c r="L29" i="294"/>
  <c r="K29" i="294"/>
  <c r="J29" i="294"/>
  <c r="H29" i="294"/>
  <c r="G29" i="294"/>
  <c r="F29" i="294"/>
  <c r="K28" i="294"/>
  <c r="N28" i="294" s="1"/>
  <c r="J28" i="294"/>
  <c r="N27" i="294"/>
  <c r="J27" i="294"/>
  <c r="N26" i="294"/>
  <c r="N25" i="294"/>
  <c r="N24" i="294"/>
  <c r="K23" i="294"/>
  <c r="N23" i="294" s="1"/>
  <c r="J23" i="294"/>
  <c r="O22" i="294"/>
  <c r="M22" i="294"/>
  <c r="L22" i="294"/>
  <c r="H22" i="294"/>
  <c r="G22" i="294"/>
  <c r="F22" i="294"/>
  <c r="N21" i="294"/>
  <c r="N20" i="294"/>
  <c r="N19" i="294"/>
  <c r="N18" i="294"/>
  <c r="N17" i="294"/>
  <c r="N16" i="294"/>
  <c r="J16" i="294"/>
  <c r="N15" i="294"/>
  <c r="J15" i="294"/>
  <c r="N14" i="294"/>
  <c r="J14" i="294"/>
  <c r="O13" i="294"/>
  <c r="L13" i="294"/>
  <c r="K13" i="294"/>
  <c r="H13" i="294"/>
  <c r="G13" i="294"/>
  <c r="F13" i="294"/>
  <c r="N11" i="294"/>
  <c r="J11" i="294"/>
  <c r="N10" i="294"/>
  <c r="J10" i="294"/>
  <c r="N8" i="294"/>
  <c r="O7" i="294"/>
  <c r="M7" i="294"/>
  <c r="L7" i="294"/>
  <c r="K7" i="294"/>
  <c r="H7" i="294"/>
  <c r="G7" i="294"/>
  <c r="F7" i="294"/>
  <c r="P196" i="292"/>
  <c r="AB201" i="292" s="1"/>
  <c r="K192" i="292"/>
  <c r="K155" i="292"/>
  <c r="K184" i="292" s="1"/>
  <c r="K188" i="292"/>
  <c r="N187" i="292"/>
  <c r="K189" i="292"/>
  <c r="N186" i="292"/>
  <c r="AB153" i="292"/>
  <c r="AA153" i="292"/>
  <c r="Z153" i="292"/>
  <c r="Y153" i="292"/>
  <c r="X153" i="292"/>
  <c r="W153" i="292"/>
  <c r="V153" i="292"/>
  <c r="U153" i="292"/>
  <c r="T153" i="292"/>
  <c r="S153" i="292"/>
  <c r="R153" i="292"/>
  <c r="Q153" i="292"/>
  <c r="P153" i="292"/>
  <c r="N88" i="292"/>
  <c r="N81" i="292"/>
  <c r="K80" i="292"/>
  <c r="N80" i="292" s="1"/>
  <c r="J80" i="292"/>
  <c r="N76" i="292"/>
  <c r="J76" i="292"/>
  <c r="N55" i="292"/>
  <c r="N54" i="292"/>
  <c r="N53" i="292"/>
  <c r="N52" i="292"/>
  <c r="N51" i="292"/>
  <c r="N48" i="292"/>
  <c r="N47" i="292"/>
  <c r="N44" i="292"/>
  <c r="N43" i="292"/>
  <c r="N42" i="292"/>
  <c r="N41" i="292"/>
  <c r="J41" i="292"/>
  <c r="N39" i="292"/>
  <c r="J39" i="292"/>
  <c r="N38" i="292"/>
  <c r="N37" i="292"/>
  <c r="AB167" i="292"/>
  <c r="AB166" i="292"/>
  <c r="AB163" i="292"/>
  <c r="AB168" i="292"/>
  <c r="AB183" i="292"/>
  <c r="AB177" i="292"/>
  <c r="AB178" i="292"/>
  <c r="AB179" i="292"/>
  <c r="AB180" i="292"/>
  <c r="AB181" i="292"/>
  <c r="AB182" i="292"/>
  <c r="AB194" i="292"/>
  <c r="AB193" i="292"/>
  <c r="AB192" i="292"/>
  <c r="AB189" i="292"/>
  <c r="AB188" i="292"/>
  <c r="AB190" i="292"/>
  <c r="AB191" i="292"/>
  <c r="K165" i="292"/>
  <c r="K158" i="292"/>
  <c r="K161" i="292"/>
  <c r="K101" i="294" l="1"/>
  <c r="J159" i="305"/>
  <c r="N205" i="305"/>
  <c r="M159" i="305"/>
  <c r="M206" i="305" s="1"/>
  <c r="N12" i="305"/>
  <c r="N159" i="305" s="1"/>
  <c r="N206" i="305" s="1"/>
  <c r="K159" i="305"/>
  <c r="K206" i="305" s="1"/>
  <c r="L12" i="294"/>
  <c r="J13" i="294"/>
  <c r="N22" i="294"/>
  <c r="J112" i="294"/>
  <c r="J111" i="294" s="1"/>
  <c r="O184" i="294"/>
  <c r="O195" i="294" s="1"/>
  <c r="X184" i="294"/>
  <c r="X195" i="294" s="1"/>
  <c r="AA184" i="294"/>
  <c r="AA195" i="294" s="1"/>
  <c r="J117" i="294"/>
  <c r="Q184" i="294"/>
  <c r="Q195" i="294" s="1"/>
  <c r="T184" i="294"/>
  <c r="T195" i="294" s="1"/>
  <c r="W184" i="294"/>
  <c r="W195" i="294" s="1"/>
  <c r="Z184" i="294"/>
  <c r="Z195" i="294" s="1"/>
  <c r="J7" i="294"/>
  <c r="R184" i="294"/>
  <c r="R195" i="294" s="1"/>
  <c r="R196" i="294" s="1"/>
  <c r="U184" i="294"/>
  <c r="U195" i="294" s="1"/>
  <c r="O12" i="294"/>
  <c r="O111" i="294"/>
  <c r="N174" i="294"/>
  <c r="J22" i="294"/>
  <c r="J101" i="294"/>
  <c r="F111" i="294"/>
  <c r="F12" i="294"/>
  <c r="L111" i="294"/>
  <c r="T196" i="294"/>
  <c r="W196" i="294"/>
  <c r="Z196" i="294"/>
  <c r="P184" i="294"/>
  <c r="P195" i="294" s="1"/>
  <c r="S184" i="294"/>
  <c r="S195" i="294" s="1"/>
  <c r="S196" i="294" s="1"/>
  <c r="V184" i="294"/>
  <c r="V195" i="294" s="1"/>
  <c r="V196" i="294" s="1"/>
  <c r="Y184" i="294"/>
  <c r="Y195" i="294" s="1"/>
  <c r="Y196" i="294" s="1"/>
  <c r="G12" i="294"/>
  <c r="N67" i="294"/>
  <c r="X196" i="294"/>
  <c r="AA196" i="294"/>
  <c r="K195" i="294"/>
  <c r="H12" i="294"/>
  <c r="J67" i="294"/>
  <c r="H111" i="294"/>
  <c r="N13" i="294"/>
  <c r="M111" i="294"/>
  <c r="N169" i="294"/>
  <c r="U196" i="294"/>
  <c r="AB195" i="294"/>
  <c r="N155" i="294"/>
  <c r="N117" i="294"/>
  <c r="N111" i="294" s="1"/>
  <c r="N101" i="294"/>
  <c r="N36" i="294"/>
  <c r="N29" i="294"/>
  <c r="M12" i="294"/>
  <c r="N7" i="294"/>
  <c r="G153" i="294"/>
  <c r="J12" i="294"/>
  <c r="L153" i="294"/>
  <c r="L196" i="294" s="1"/>
  <c r="K22" i="294"/>
  <c r="K67" i="294"/>
  <c r="K117" i="294"/>
  <c r="K111" i="294" s="1"/>
  <c r="M195" i="294"/>
  <c r="N56" i="292"/>
  <c r="Z203" i="292"/>
  <c r="L195" i="292"/>
  <c r="N194" i="292"/>
  <c r="N193" i="292"/>
  <c r="N192" i="292"/>
  <c r="N191" i="292"/>
  <c r="N190" i="292"/>
  <c r="N189" i="292"/>
  <c r="N188" i="292"/>
  <c r="AB185" i="292"/>
  <c r="N185" i="292"/>
  <c r="N183" i="292"/>
  <c r="N182" i="292"/>
  <c r="N181" i="292"/>
  <c r="N180" i="292"/>
  <c r="N179" i="292"/>
  <c r="N178" i="292"/>
  <c r="W174" i="292"/>
  <c r="K177" i="292"/>
  <c r="N177" i="292" s="1"/>
  <c r="AB176" i="292"/>
  <c r="AB174" i="292" s="1"/>
  <c r="N176" i="292"/>
  <c r="N175" i="292"/>
  <c r="AA174" i="292"/>
  <c r="Z174" i="292"/>
  <c r="Y174" i="292"/>
  <c r="X174" i="292"/>
  <c r="V174" i="292"/>
  <c r="U174" i="292"/>
  <c r="T174" i="292"/>
  <c r="S174" i="292"/>
  <c r="R174" i="292"/>
  <c r="Q174" i="292"/>
  <c r="P174" i="292"/>
  <c r="O174" i="292"/>
  <c r="M174" i="292"/>
  <c r="AB173" i="292"/>
  <c r="N173" i="292"/>
  <c r="AB172" i="292"/>
  <c r="N172" i="292"/>
  <c r="AB171" i="292"/>
  <c r="N171" i="292"/>
  <c r="AB170" i="292"/>
  <c r="N170" i="292"/>
  <c r="U169" i="292"/>
  <c r="T169" i="292"/>
  <c r="S169" i="292"/>
  <c r="R169" i="292"/>
  <c r="M169" i="292"/>
  <c r="K169" i="292"/>
  <c r="N168" i="292"/>
  <c r="N167" i="292"/>
  <c r="N166" i="292"/>
  <c r="AB165" i="292"/>
  <c r="N165" i="292"/>
  <c r="AB164" i="292"/>
  <c r="N164" i="292"/>
  <c r="K163" i="292"/>
  <c r="N163" i="292" s="1"/>
  <c r="AB162" i="292"/>
  <c r="N162" i="292"/>
  <c r="AB161" i="292"/>
  <c r="Y155" i="292"/>
  <c r="N161" i="292"/>
  <c r="AB160" i="292"/>
  <c r="N160" i="292"/>
  <c r="AB159" i="292"/>
  <c r="N159" i="292"/>
  <c r="AB158" i="292"/>
  <c r="N158" i="292"/>
  <c r="J158" i="292"/>
  <c r="W155" i="292"/>
  <c r="AB157" i="292"/>
  <c r="N157" i="292"/>
  <c r="AB156" i="292"/>
  <c r="S155" i="292"/>
  <c r="N156" i="292"/>
  <c r="AA155" i="292"/>
  <c r="Z155" i="292"/>
  <c r="X155" i="292"/>
  <c r="V155" i="292"/>
  <c r="U155" i="292"/>
  <c r="T155" i="292"/>
  <c r="R155" i="292"/>
  <c r="Q155" i="292"/>
  <c r="P155" i="292"/>
  <c r="O155" i="292"/>
  <c r="J154" i="292"/>
  <c r="N152" i="292"/>
  <c r="J152" i="292"/>
  <c r="N151" i="292"/>
  <c r="J151" i="292"/>
  <c r="N150" i="292"/>
  <c r="J150" i="292"/>
  <c r="N149" i="292"/>
  <c r="J149" i="292"/>
  <c r="N148" i="292"/>
  <c r="J148" i="292"/>
  <c r="N147" i="292"/>
  <c r="J147" i="292"/>
  <c r="N146" i="292"/>
  <c r="J146" i="292"/>
  <c r="N145" i="292"/>
  <c r="J145" i="292"/>
  <c r="N144" i="292"/>
  <c r="N143" i="292"/>
  <c r="N142" i="292"/>
  <c r="N141" i="292"/>
  <c r="N140" i="292"/>
  <c r="N139" i="292"/>
  <c r="N138" i="292"/>
  <c r="N137" i="292"/>
  <c r="J137" i="292"/>
  <c r="K136" i="292"/>
  <c r="N136" i="292" s="1"/>
  <c r="N135" i="292"/>
  <c r="J135" i="292"/>
  <c r="N134" i="292"/>
  <c r="J134" i="292"/>
  <c r="N133" i="292"/>
  <c r="N132" i="292"/>
  <c r="N131" i="292"/>
  <c r="N130" i="292"/>
  <c r="N129" i="292"/>
  <c r="J129" i="292"/>
  <c r="N128" i="292"/>
  <c r="N127" i="292"/>
  <c r="J127" i="292"/>
  <c r="N126" i="292"/>
  <c r="N125" i="292"/>
  <c r="J125" i="292"/>
  <c r="N124" i="292"/>
  <c r="N123" i="292"/>
  <c r="J123" i="292"/>
  <c r="K122" i="292"/>
  <c r="N122" i="292" s="1"/>
  <c r="K121" i="292"/>
  <c r="N121" i="292" s="1"/>
  <c r="J121" i="292"/>
  <c r="N120" i="292"/>
  <c r="N119" i="292"/>
  <c r="N118" i="292"/>
  <c r="J118" i="292"/>
  <c r="O117" i="292"/>
  <c r="M117" i="292"/>
  <c r="L117" i="292"/>
  <c r="H117" i="292"/>
  <c r="G117" i="292"/>
  <c r="F117" i="292"/>
  <c r="J116" i="292"/>
  <c r="J114" i="292"/>
  <c r="N113" i="292"/>
  <c r="N112" i="292" s="1"/>
  <c r="J113" i="292"/>
  <c r="O112" i="292"/>
  <c r="M112" i="292"/>
  <c r="L112" i="292"/>
  <c r="K112" i="292"/>
  <c r="H112" i="292"/>
  <c r="G112" i="292"/>
  <c r="F112" i="292"/>
  <c r="K110" i="292"/>
  <c r="N110" i="292" s="1"/>
  <c r="N109" i="292"/>
  <c r="J109" i="292"/>
  <c r="N108" i="292"/>
  <c r="N107" i="292"/>
  <c r="N106" i="292"/>
  <c r="J106" i="292"/>
  <c r="N105" i="292"/>
  <c r="N104" i="292"/>
  <c r="N103" i="292"/>
  <c r="N102" i="292"/>
  <c r="J102" i="292"/>
  <c r="O101" i="292"/>
  <c r="M101" i="292"/>
  <c r="L101" i="292"/>
  <c r="H101" i="292"/>
  <c r="G101" i="292"/>
  <c r="F101" i="292"/>
  <c r="N100" i="292"/>
  <c r="N99" i="292"/>
  <c r="K98" i="292"/>
  <c r="N98" i="292" s="1"/>
  <c r="N97" i="292"/>
  <c r="N96" i="292"/>
  <c r="N95" i="292"/>
  <c r="N94" i="292"/>
  <c r="N93" i="292"/>
  <c r="N92" i="292"/>
  <c r="N91" i="292"/>
  <c r="N90" i="292"/>
  <c r="J90" i="292"/>
  <c r="N89" i="292"/>
  <c r="N87" i="292"/>
  <c r="N86" i="292"/>
  <c r="N85" i="292"/>
  <c r="J85" i="292"/>
  <c r="N84" i="292"/>
  <c r="J84" i="292"/>
  <c r="N83" i="292"/>
  <c r="N82" i="292"/>
  <c r="N79" i="292"/>
  <c r="J79" i="292"/>
  <c r="N78" i="292"/>
  <c r="J78" i="292"/>
  <c r="N77" i="292"/>
  <c r="N75" i="292"/>
  <c r="J75" i="292"/>
  <c r="N74" i="292"/>
  <c r="J74" i="292"/>
  <c r="N73" i="292"/>
  <c r="N72" i="292"/>
  <c r="N71" i="292"/>
  <c r="N70" i="292"/>
  <c r="J68" i="292"/>
  <c r="O67" i="292"/>
  <c r="L67" i="292"/>
  <c r="H67" i="292"/>
  <c r="G67" i="292"/>
  <c r="F67" i="292"/>
  <c r="N66" i="292"/>
  <c r="N65" i="292"/>
  <c r="N64" i="292"/>
  <c r="N63" i="292"/>
  <c r="N62" i="292"/>
  <c r="N61" i="292"/>
  <c r="N60" i="292"/>
  <c r="N59" i="292"/>
  <c r="N58" i="292"/>
  <c r="N57" i="292"/>
  <c r="N50" i="292"/>
  <c r="J50" i="292"/>
  <c r="N49" i="292"/>
  <c r="N46" i="292"/>
  <c r="J46" i="292"/>
  <c r="N45" i="292"/>
  <c r="J45" i="292"/>
  <c r="O36" i="292"/>
  <c r="M36" i="292"/>
  <c r="L36" i="292"/>
  <c r="K36" i="292"/>
  <c r="H36" i="292"/>
  <c r="G36" i="292"/>
  <c r="F36" i="292"/>
  <c r="N34" i="292"/>
  <c r="N33" i="292" s="1"/>
  <c r="M33" i="292"/>
  <c r="L33" i="292"/>
  <c r="K33" i="292"/>
  <c r="J33" i="292"/>
  <c r="H33" i="292"/>
  <c r="G33" i="292"/>
  <c r="F33" i="292"/>
  <c r="N32" i="292"/>
  <c r="N31" i="292"/>
  <c r="N30" i="292"/>
  <c r="O29" i="292"/>
  <c r="M29" i="292"/>
  <c r="L29" i="292"/>
  <c r="K29" i="292"/>
  <c r="J29" i="292"/>
  <c r="H29" i="292"/>
  <c r="G29" i="292"/>
  <c r="F29" i="292"/>
  <c r="K28" i="292"/>
  <c r="N28" i="292" s="1"/>
  <c r="J28" i="292"/>
  <c r="N27" i="292"/>
  <c r="J27" i="292"/>
  <c r="N26" i="292"/>
  <c r="N25" i="292"/>
  <c r="N24" i="292"/>
  <c r="K23" i="292"/>
  <c r="J23" i="292"/>
  <c r="O22" i="292"/>
  <c r="M22" i="292"/>
  <c r="L22" i="292"/>
  <c r="H22" i="292"/>
  <c r="G22" i="292"/>
  <c r="F22" i="292"/>
  <c r="N21" i="292"/>
  <c r="N20" i="292"/>
  <c r="N19" i="292"/>
  <c r="N18" i="292"/>
  <c r="N17" i="292"/>
  <c r="N16" i="292"/>
  <c r="J16" i="292"/>
  <c r="N15" i="292"/>
  <c r="J15" i="292"/>
  <c r="N14" i="292"/>
  <c r="J14" i="292"/>
  <c r="O13" i="292"/>
  <c r="M13" i="292"/>
  <c r="L13" i="292"/>
  <c r="K13" i="292"/>
  <c r="H13" i="292"/>
  <c r="G13" i="292"/>
  <c r="F13" i="292"/>
  <c r="N11" i="292"/>
  <c r="J11" i="292"/>
  <c r="N10" i="292"/>
  <c r="J10" i="292"/>
  <c r="N8" i="292"/>
  <c r="O7" i="292"/>
  <c r="L7" i="292"/>
  <c r="K7" i="292"/>
  <c r="H7" i="292"/>
  <c r="G7" i="292"/>
  <c r="F7" i="292"/>
  <c r="J153" i="294" l="1"/>
  <c r="H153" i="294"/>
  <c r="O184" i="292"/>
  <c r="O195" i="292" s="1"/>
  <c r="O153" i="294"/>
  <c r="O196" i="294" s="1"/>
  <c r="AB221" i="305"/>
  <c r="AB206" i="305"/>
  <c r="R184" i="292"/>
  <c r="R195" i="292" s="1"/>
  <c r="R196" i="292" s="1"/>
  <c r="V184" i="292"/>
  <c r="V195" i="292" s="1"/>
  <c r="V196" i="292" s="1"/>
  <c r="W184" i="292"/>
  <c r="W195" i="292" s="1"/>
  <c r="W196" i="292" s="1"/>
  <c r="F153" i="294"/>
  <c r="Z201" i="294"/>
  <c r="Z204" i="294" s="1"/>
  <c r="X184" i="292"/>
  <c r="X195" i="292" s="1"/>
  <c r="X196" i="292" s="1"/>
  <c r="J101" i="292"/>
  <c r="K12" i="294"/>
  <c r="K153" i="294" s="1"/>
  <c r="K196" i="294" s="1"/>
  <c r="M153" i="294"/>
  <c r="M196" i="294" s="1"/>
  <c r="N12" i="294"/>
  <c r="N153" i="294" s="1"/>
  <c r="N184" i="294"/>
  <c r="N195" i="294" s="1"/>
  <c r="S184" i="292"/>
  <c r="S195" i="292" s="1"/>
  <c r="S196" i="292" s="1"/>
  <c r="AA184" i="292"/>
  <c r="AA195" i="292" s="1"/>
  <c r="AA196" i="292" s="1"/>
  <c r="K195" i="292"/>
  <c r="F12" i="292"/>
  <c r="H12" i="292"/>
  <c r="G12" i="292"/>
  <c r="K22" i="292"/>
  <c r="L12" i="292"/>
  <c r="J22" i="292"/>
  <c r="G111" i="292"/>
  <c r="Q184" i="292"/>
  <c r="Q195" i="292" s="1"/>
  <c r="Q196" i="292" s="1"/>
  <c r="J13" i="292"/>
  <c r="J36" i="292"/>
  <c r="P184" i="292"/>
  <c r="P195" i="292" s="1"/>
  <c r="J7" i="292"/>
  <c r="N23" i="292"/>
  <c r="N22" i="292" s="1"/>
  <c r="F111" i="292"/>
  <c r="L111" i="292"/>
  <c r="T184" i="292"/>
  <c r="T195" i="292" s="1"/>
  <c r="T196" i="292" s="1"/>
  <c r="K101" i="292"/>
  <c r="J117" i="292"/>
  <c r="J67" i="292"/>
  <c r="J112" i="292"/>
  <c r="U184" i="292"/>
  <c r="U195" i="292" s="1"/>
  <c r="U196" i="292" s="1"/>
  <c r="H111" i="292"/>
  <c r="O111" i="292"/>
  <c r="Z184" i="292"/>
  <c r="Z195" i="292" s="1"/>
  <c r="Z196" i="292" s="1"/>
  <c r="Y184" i="292"/>
  <c r="Y195" i="292" s="1"/>
  <c r="Y196" i="292" s="1"/>
  <c r="N169" i="292"/>
  <c r="N101" i="292"/>
  <c r="AB169" i="292"/>
  <c r="AB155" i="292"/>
  <c r="N174" i="292"/>
  <c r="N13" i="292"/>
  <c r="N7" i="292"/>
  <c r="N117" i="292"/>
  <c r="N111" i="292" s="1"/>
  <c r="N155" i="292"/>
  <c r="M111" i="292"/>
  <c r="N36" i="292"/>
  <c r="O12" i="292"/>
  <c r="N29" i="292"/>
  <c r="N67" i="292"/>
  <c r="K67" i="292"/>
  <c r="M7" i="292"/>
  <c r="M67" i="292"/>
  <c r="M12" i="292" s="1"/>
  <c r="K117" i="292"/>
  <c r="K111" i="292" s="1"/>
  <c r="G153" i="292" l="1"/>
  <c r="H153" i="292"/>
  <c r="K12" i="292"/>
  <c r="N196" i="294"/>
  <c r="AB207" i="294"/>
  <c r="AB196" i="294"/>
  <c r="M153" i="292"/>
  <c r="K153" i="292"/>
  <c r="K196" i="292" s="1"/>
  <c r="O196" i="292"/>
  <c r="F153" i="292"/>
  <c r="J12" i="292"/>
  <c r="L153" i="292"/>
  <c r="L196" i="292" s="1"/>
  <c r="J111" i="292"/>
  <c r="AB184" i="292"/>
  <c r="AB195" i="292" s="1"/>
  <c r="Z201" i="292"/>
  <c r="Z204" i="292" s="1"/>
  <c r="N184" i="292"/>
  <c r="N195" i="292" s="1"/>
  <c r="M184" i="292"/>
  <c r="M195" i="292" s="1"/>
  <c r="N12" i="292"/>
  <c r="N153" i="292" s="1"/>
  <c r="J153" i="292" l="1"/>
  <c r="N196" i="292"/>
  <c r="M196" i="292"/>
  <c r="AB196" i="292" l="1"/>
  <c r="AB207" i="292"/>
</calcChain>
</file>

<file path=xl/sharedStrings.xml><?xml version="1.0" encoding="utf-8"?>
<sst xmlns="http://schemas.openxmlformats.org/spreadsheetml/2006/main" count="1111" uniqueCount="424">
  <si>
    <t>Исполнительная смета</t>
  </si>
  <si>
    <t>Наименование статей</t>
  </si>
  <si>
    <t>Брошюровка и переплет документов</t>
  </si>
  <si>
    <t>Транспортные услуги</t>
  </si>
  <si>
    <t>Оплата услуг связи</t>
  </si>
  <si>
    <t>Уборка и вывоз снега, мусора и др. нечистот</t>
  </si>
  <si>
    <t>Представительские расходы</t>
  </si>
  <si>
    <t>Штрафы, пени, другие экономические санкции</t>
  </si>
  <si>
    <t>Услуги нотариальные</t>
  </si>
  <si>
    <t>Моющие средства, мыло и др.</t>
  </si>
  <si>
    <t>Обучение,подгот.и переподгот. кадров по повышен.квалиф.</t>
  </si>
  <si>
    <t>Текущий ремонт помещений, зданий и прилегающих  к ним тротуаров, дворов, огражд.</t>
  </si>
  <si>
    <t>Обязательное страхование гражданской ответственности владельцев транспортных средств</t>
  </si>
  <si>
    <t>Выполнение природоохранных мероприятий</t>
  </si>
  <si>
    <t>Заработная плата</t>
  </si>
  <si>
    <t>Приобретение услуг</t>
  </si>
  <si>
    <t>Коммунальные услуги</t>
  </si>
  <si>
    <t>Арендная плата за пользование имуществом</t>
  </si>
  <si>
    <t>аренда транспортных средств</t>
  </si>
  <si>
    <t>Прочие услуги</t>
  </si>
  <si>
    <t>Прочие расходы</t>
  </si>
  <si>
    <t>Поступление нефинансовых активов</t>
  </si>
  <si>
    <t>Увеличение стоимости основных средств</t>
  </si>
  <si>
    <t>Приобретение спецодежды</t>
  </si>
  <si>
    <t>Увеличение стоимости нематериальных активов</t>
  </si>
  <si>
    <t>Увеличение стоимости материальных запасов</t>
  </si>
  <si>
    <t>Охрана труда и техника безопасности - всего</t>
  </si>
  <si>
    <t>в том числе молоко</t>
  </si>
  <si>
    <t>Программное обеспечение (приобретение пользовательских прав)</t>
  </si>
  <si>
    <t>Приобретен.оборуд.,машин, прочих О.С, хоз.инвентаря</t>
  </si>
  <si>
    <t>Сбор при приобретении билетов на проезд всеми видами транспорта</t>
  </si>
  <si>
    <t>2007 год</t>
  </si>
  <si>
    <t>Проведение лабораторных работ по испытанию строительных материалов</t>
  </si>
  <si>
    <t>К- 1</t>
  </si>
  <si>
    <t>Информационно-консультационные работы,услуги</t>
  </si>
  <si>
    <t>Факт на 04.12.2006</t>
  </si>
  <si>
    <t>Предус-мотрено сметой на 2006 год всего первоначально</t>
  </si>
  <si>
    <t>Предус-мотрено сметой на 2006 год с учетом снятия 1150 т.руб.</t>
  </si>
  <si>
    <t>Госпошлины, лицензии, сборы, разного рода платежи, технический осмотр транспортных средств, а также приобретение спецпродукции</t>
  </si>
  <si>
    <t>ВСЕГО по бюджетной росписи</t>
  </si>
  <si>
    <t>Услуги сотовой связи</t>
  </si>
  <si>
    <t>Наем транспортных средств</t>
  </si>
  <si>
    <t>Моторные масла</t>
  </si>
  <si>
    <t>Бумага для факсов</t>
  </si>
  <si>
    <t>Приобретение почтовых марок,маркированных конвертов</t>
  </si>
  <si>
    <t>Дополнительные средства стимулирующего характера</t>
  </si>
  <si>
    <t>Услуга "Виртуальная локальная сеть"</t>
  </si>
  <si>
    <t>Выплаты стимулирующего характера руководителю</t>
  </si>
  <si>
    <t>апрель</t>
  </si>
  <si>
    <t xml:space="preserve"> </t>
  </si>
  <si>
    <t>январь</t>
  </si>
  <si>
    <t>февраль</t>
  </si>
  <si>
    <t>март</t>
  </si>
  <si>
    <t>Услуги по мониторингу местоположения автомобилей</t>
  </si>
  <si>
    <t>май</t>
  </si>
  <si>
    <t>Выплата выходного пособия работникам</t>
  </si>
  <si>
    <t>Плата за негативное воздействие на окружающую среду</t>
  </si>
  <si>
    <t>Вакцины</t>
  </si>
  <si>
    <t>июнь</t>
  </si>
  <si>
    <t>Капитальный ремонт помещений.зданий и прилегающих к ним тратуаров,дворов,огражд.</t>
  </si>
  <si>
    <t>июль</t>
  </si>
  <si>
    <t>август</t>
  </si>
  <si>
    <t>сентябрь</t>
  </si>
  <si>
    <t>Налог на землю</t>
  </si>
  <si>
    <t>Полотенца</t>
  </si>
  <si>
    <t>октябрь</t>
  </si>
  <si>
    <t>ноябрь</t>
  </si>
  <si>
    <t>декабрь</t>
  </si>
  <si>
    <t>Остаток от лимита      за год  (гр.4-гр.5)           руб.</t>
  </si>
  <si>
    <t>Ремонт пожарной сигнализации</t>
  </si>
  <si>
    <t>ремонт помещений, зданий и прилегающих  к ним тротуаров, дворов, огражд.</t>
  </si>
  <si>
    <t>Проектные работы по ремонту здания</t>
  </si>
  <si>
    <t>Кремы по уходу за кожей лица,рук и ног</t>
  </si>
  <si>
    <t>Химические продукты</t>
  </si>
  <si>
    <t>Пересылка почтовых отправлений</t>
  </si>
  <si>
    <t>Нормативное содержание а\дорог общего пользования регион.и межмуницип.значения</t>
  </si>
  <si>
    <t>Пожарная сигнализация(установка,наладка и эксплуатация)</t>
  </si>
  <si>
    <t>Монтаж контрольно-измерительного и навигационного оборудования(приемка узлов учета)</t>
  </si>
  <si>
    <t>Медицинское обслуживание</t>
  </si>
  <si>
    <t>Вневедомств.охрана , охранная  сигнализация (установка,наладка и эксплуатация)</t>
  </si>
  <si>
    <t>в том числе</t>
  </si>
  <si>
    <t>Прочие работы и услуги (содержание)</t>
  </si>
  <si>
    <t>Паспортизация а\дорог и дорожных сооружений</t>
  </si>
  <si>
    <t>Устранение деформаций и повреждений дорожных покрытий и обочин а\дорог</t>
  </si>
  <si>
    <t>174, 200</t>
  </si>
  <si>
    <t>127</t>
  </si>
  <si>
    <t>Дискеты, катриджи, тонер (приобретение)</t>
  </si>
  <si>
    <t>Поступило финансирование</t>
  </si>
  <si>
    <t>мягкий инвентарь</t>
  </si>
  <si>
    <t>Услуги местной,внутризоновой и междугородней связи                (услуги связи)</t>
  </si>
  <si>
    <t>Услуги международной связи</t>
  </si>
  <si>
    <t xml:space="preserve">Гос.проверка,паспортизация, калибровка, аккредитация лабораторного оборудования,весов ПВК </t>
  </si>
  <si>
    <t>Ремонт лабораторного оборудования,весов ПВК</t>
  </si>
  <si>
    <t>Актуализация(проверка)нормативно-технической документации,</t>
  </si>
  <si>
    <t xml:space="preserve">Транспортный налог </t>
  </si>
  <si>
    <t>Налог на имущество</t>
  </si>
  <si>
    <t>Нанесение горизонтальная разметка</t>
  </si>
  <si>
    <t>Услуги природоохранного характера</t>
  </si>
  <si>
    <t>Определение несущей способности дорожной одежды сети автомобильных дорог в весенний период</t>
  </si>
  <si>
    <t>Ремонт бытовых электроприборов</t>
  </si>
  <si>
    <t>Ремонт мойки</t>
  </si>
  <si>
    <t>Прочие расходы(открытки,плакаты)</t>
  </si>
  <si>
    <t>Прочие расходы (цветы)</t>
  </si>
  <si>
    <t>Материалы и предметы снабжения для текущих хоз.нужд-(лампы накаливания)</t>
  </si>
  <si>
    <t>Материалы и предметы снабжения для текущих хоз.нужд-(прочие метал.,дерев. изделия,предметы уборки,таблички)</t>
  </si>
  <si>
    <t>Итого дорожное хозяйство</t>
  </si>
  <si>
    <t xml:space="preserve"> Дорожное хозяйство</t>
  </si>
  <si>
    <t>Ремонт бензогенератора</t>
  </si>
  <si>
    <t>Услуги по техническому обслуживанию и ремонту автомобилей</t>
  </si>
  <si>
    <t xml:space="preserve">Бензины автомобильные </t>
  </si>
  <si>
    <t>Аккумуляторы,батареи (химические источники тока)</t>
  </si>
  <si>
    <t>Услуги железнодорожного транспорта</t>
  </si>
  <si>
    <t>Начисления на оплату труда 30,2%</t>
  </si>
  <si>
    <t>Утилизация оргтехники и ламп,шин</t>
  </si>
  <si>
    <t>Продукты нефтепереработки</t>
  </si>
  <si>
    <t>Канцелярские и письменные принадлежности,(бумажные)</t>
  </si>
  <si>
    <t>Канцелярские и письменные принадлежности (печати,штампы,ручки,карандаши т.д.)</t>
  </si>
  <si>
    <t>Испытание пожарных кранов</t>
  </si>
  <si>
    <t>Краски,лаки и аналогичные продукты</t>
  </si>
  <si>
    <t>Провода и кабели изолированные</t>
  </si>
  <si>
    <t>Полимерные изделия (выключатели,прочие детали)</t>
  </si>
  <si>
    <t>Керамические изделия</t>
  </si>
  <si>
    <t>Услуги в области рекламы</t>
  </si>
  <si>
    <t>Шины для легковых автомобилей</t>
  </si>
  <si>
    <t>Услуги по оформлению подписки периодических изданий</t>
  </si>
  <si>
    <t>Детали и принадлежности для автотранспорта</t>
  </si>
  <si>
    <t>Услуги по техническому обслуживанию и ремонту оргтехники,элек.выч.машин и периферийного оборудования</t>
  </si>
  <si>
    <t>Машины и оборудование для коммунального хозяйства и запасные части к ним</t>
  </si>
  <si>
    <t>Планово-предупредительный ремонт</t>
  </si>
  <si>
    <t>Перевозки пассажиров воздушным транспортом</t>
  </si>
  <si>
    <t>Ликвидация пучинообразований</t>
  </si>
  <si>
    <t>Запчасти и расходные материалы для электронно-вычислительной техники, периферийного оборудования, средств связи</t>
  </si>
  <si>
    <t xml:space="preserve">Блок питания </t>
  </si>
  <si>
    <t xml:space="preserve"> Справочн. и др.литература</t>
  </si>
  <si>
    <t xml:space="preserve">  </t>
  </si>
  <si>
    <t>аренда оборудования</t>
  </si>
  <si>
    <t>Услуги внутреннего водного транспорта</t>
  </si>
  <si>
    <t>Оплата судебных издержек</t>
  </si>
  <si>
    <t>Перевозки грузов воздушным транспортом</t>
  </si>
  <si>
    <t>Исполнитель: Вотинова Л.Н.</t>
  </si>
  <si>
    <t xml:space="preserve">Капитальный ремонт </t>
  </si>
  <si>
    <t>Оплата труда и начисления на выплаты по оплате труда</t>
  </si>
  <si>
    <t>№ стр.из перечня услуг</t>
  </si>
  <si>
    <t>64,20,12.130</t>
  </si>
  <si>
    <t>64.20.18.130</t>
  </si>
  <si>
    <t>64.20.13.130</t>
  </si>
  <si>
    <t>60.21.41.110</t>
  </si>
  <si>
    <t>60.10.11.130</t>
  </si>
  <si>
    <t>62.10.10.121</t>
  </si>
  <si>
    <t>61.20.25.110</t>
  </si>
  <si>
    <t>62.10.22.121</t>
  </si>
  <si>
    <t>40.30.10.151</t>
  </si>
  <si>
    <t>50.20.11.179</t>
  </si>
  <si>
    <t>90.02.13.110</t>
  </si>
  <si>
    <t>72.50.12.000</t>
  </si>
  <si>
    <t>52.72.12.159</t>
  </si>
  <si>
    <t>45.21.14.140</t>
  </si>
  <si>
    <t>32.20.92.000</t>
  </si>
  <si>
    <t>74.20.37.620</t>
  </si>
  <si>
    <t>33.20.92.000</t>
  </si>
  <si>
    <t>70.32.13.231</t>
  </si>
  <si>
    <t>Испытание пож.лестниц,ограждений на крыше</t>
  </si>
  <si>
    <t>29.24.92.190</t>
  </si>
  <si>
    <t>74.20.37.990</t>
  </si>
  <si>
    <t>90.02.11.149</t>
  </si>
  <si>
    <t>74.20.36.990</t>
  </si>
  <si>
    <t>66.03.21.000</t>
  </si>
  <si>
    <t>80.30.12.130</t>
  </si>
  <si>
    <t>74.11.15.110</t>
  </si>
  <si>
    <t>74.11.12.000</t>
  </si>
  <si>
    <t>Услуги юридического консультирования</t>
  </si>
  <si>
    <t>74.20.37.310</t>
  </si>
  <si>
    <t>72.21.12.000</t>
  </si>
  <si>
    <t>70.32.13.824</t>
  </si>
  <si>
    <t>22.22.31.110</t>
  </si>
  <si>
    <t>64.11.11.140</t>
  </si>
  <si>
    <t>74.13.11.000</t>
  </si>
  <si>
    <t>22.15.11.190</t>
  </si>
  <si>
    <t>01.12.22.190</t>
  </si>
  <si>
    <t>23.20.11.221</t>
  </si>
  <si>
    <t>23.20.18.512</t>
  </si>
  <si>
    <t>24.66.31.120</t>
  </si>
  <si>
    <t>71</t>
  </si>
  <si>
    <t>21.23.12.710</t>
  </si>
  <si>
    <t>36.63.23.199</t>
  </si>
  <si>
    <t>Бумага для ксероксов,принтеров,факсов</t>
  </si>
  <si>
    <t>21.12.14.190</t>
  </si>
  <si>
    <t>34.30.20.990</t>
  </si>
  <si>
    <t>25.11.11.110</t>
  </si>
  <si>
    <t>24.66.33.122</t>
  </si>
  <si>
    <t>24.12.21.279</t>
  </si>
  <si>
    <t>30.02.19.190</t>
  </si>
  <si>
    <t>32.30.51.319</t>
  </si>
  <si>
    <t>Детали,устройства и принадлежности фото- и киноаппаратуры(пульт к видеокамерам,видеозахват)</t>
  </si>
  <si>
    <t>31.10.50.140</t>
  </si>
  <si>
    <t>31.40.23.190</t>
  </si>
  <si>
    <t>29.32.70.210</t>
  </si>
  <si>
    <t>24.42.24.170</t>
  </si>
  <si>
    <t>24.42.21.348</t>
  </si>
  <si>
    <t>36.62.11.110</t>
  </si>
  <si>
    <t>Материалы и предметы снабжения для текущих хоз.нужд-(готовые изделия прочие,метла,щетки)</t>
  </si>
  <si>
    <t>31.50.13.000</t>
  </si>
  <si>
    <t>25.24.24.170</t>
  </si>
  <si>
    <t>25.24.24.130</t>
  </si>
  <si>
    <t>28.62.10.110</t>
  </si>
  <si>
    <t>94</t>
  </si>
  <si>
    <t>24.51.31.169</t>
  </si>
  <si>
    <t>22.11.21.194</t>
  </si>
  <si>
    <t>17.40.14.110</t>
  </si>
  <si>
    <t>24.52.15.190</t>
  </si>
  <si>
    <t xml:space="preserve">     ОКПД</t>
  </si>
  <si>
    <t>ИТОГО расходы управления</t>
  </si>
  <si>
    <t>85.14.18.190</t>
  </si>
  <si>
    <t>Услуги по проведению вакцинации</t>
  </si>
  <si>
    <t>Обозначение границ полос отвода и придорожных полос а\дорог Киров.области</t>
  </si>
  <si>
    <t>Вид расхода</t>
  </si>
  <si>
    <t>40.12.10.110</t>
  </si>
  <si>
    <t>41.00.20.122</t>
  </si>
  <si>
    <t>22.22.11.110</t>
  </si>
  <si>
    <t>64.11.12.110</t>
  </si>
  <si>
    <t>64.20.11.110</t>
  </si>
  <si>
    <t>244</t>
  </si>
  <si>
    <t>Исп.Вотинова Л.Н.</t>
  </si>
  <si>
    <t>45.32.12.132</t>
  </si>
  <si>
    <t>Работы по противопожарной защите(повышению огнестойкости деревянных конструкций)</t>
  </si>
  <si>
    <t>74.20.52.000</t>
  </si>
  <si>
    <t>%  для показателей норма</t>
  </si>
  <si>
    <t>74.14.15.000</t>
  </si>
  <si>
    <t>Специальная оценка условий труда</t>
  </si>
  <si>
    <t>Оплата отопления и технологических нужд(1001)</t>
  </si>
  <si>
    <t>Разработка проектов освоения лесов при содержании автомобильных дорог</t>
  </si>
  <si>
    <t>45.33.12.199</t>
  </si>
  <si>
    <t xml:space="preserve">Тех.обслуживание и ремонт систем вентиляции </t>
  </si>
  <si>
    <t>Услуги сети интернет и электронной почты</t>
  </si>
  <si>
    <t>Техническое обслуживание и ремонт лабораторного оборудования и весов ПВК</t>
  </si>
  <si>
    <t>32,20.92.000</t>
  </si>
  <si>
    <t>Ремонт итех.обслуживание шлагбаума</t>
  </si>
  <si>
    <t>91.12.10.000</t>
  </si>
  <si>
    <t>Услуги Российской Ассоциации территор.органов управления а\дорогами "Радор"</t>
  </si>
  <si>
    <t>85.14.18.110</t>
  </si>
  <si>
    <t>Услуги по печатанию бланков пропусков в период временного ограничения движения</t>
  </si>
  <si>
    <t>225-1216</t>
  </si>
  <si>
    <t>226-1216</t>
  </si>
  <si>
    <t>225-1217</t>
  </si>
  <si>
    <t>Поступило фин-ие</t>
  </si>
  <si>
    <t xml:space="preserve">% исполнения </t>
  </si>
  <si>
    <t>% для показателя</t>
  </si>
  <si>
    <t>Планово-предупредительные работы на м.Шеньга в Подосиновском р-не</t>
  </si>
  <si>
    <t>Планово-предупредительный ремонт и работы</t>
  </si>
  <si>
    <t>Нормативное содержание автомобильных дорог</t>
  </si>
  <si>
    <t>Нормативное содержание мостовых сооружений</t>
  </si>
  <si>
    <t>Финансовое обеспечение дорожной деятельности в рамках программы"Дорожное хозяйство"(Федеральные)</t>
  </si>
  <si>
    <t>Всего содержание а\дорог и мостовых сооружений</t>
  </si>
  <si>
    <t>414</t>
  </si>
  <si>
    <t>Услуги по монтажу(демонтажу)приборов учета расхода теплоэнергии</t>
  </si>
  <si>
    <t>40.30.10.220</t>
  </si>
  <si>
    <t>(справочно)</t>
  </si>
  <si>
    <t>в т.ч.</t>
  </si>
  <si>
    <t>федеральное</t>
  </si>
  <si>
    <t>областное</t>
  </si>
  <si>
    <t>Услуги по составлению паспортов отходов</t>
  </si>
  <si>
    <t>74.30.11.110</t>
  </si>
  <si>
    <t>Услуги по определению морфологического состава отходов</t>
  </si>
  <si>
    <t>Код статьи и строка из пречня гос.услуг</t>
  </si>
  <si>
    <t>68-72</t>
  </si>
  <si>
    <t>Материалы и предметы снабжения для тек.нужд(инструмент ручной,лопаты,грабли)</t>
  </si>
  <si>
    <t>18</t>
  </si>
  <si>
    <t>обл.+фед.</t>
  </si>
  <si>
    <t>Услуги по разработке и изготовлению планов эвакуации людей при пожаре</t>
  </si>
  <si>
    <t>74.60.15.000</t>
  </si>
  <si>
    <t>Услуги охраны</t>
  </si>
  <si>
    <t>Сопровождение программного комплекса по навигационному контролю "TraceReports"</t>
  </si>
  <si>
    <t>Устранение деформаций и повреждений покрытий на а/д Кировской области</t>
  </si>
  <si>
    <t>74.85.13.000</t>
  </si>
  <si>
    <t>Услуги по письменному переводу</t>
  </si>
  <si>
    <t>Ожидаемое сокращение расходов</t>
  </si>
  <si>
    <t>Обслуживание объектов наружного освещения на а\д Киров-Стрижи-Оричи</t>
  </si>
  <si>
    <t>62.30.10.314</t>
  </si>
  <si>
    <t>Услуги по мониторингу транспорта</t>
  </si>
  <si>
    <t>Обследование мостов</t>
  </si>
  <si>
    <t>Установка недостающих и замена  дорожных знаков</t>
  </si>
  <si>
    <t>Устранение ямочности на а\дорогах</t>
  </si>
  <si>
    <t>Ликвидация колейности на а\д</t>
  </si>
  <si>
    <t>Обследование технических средств организации дорожного движения(дислокация дор.знаков)</t>
  </si>
  <si>
    <t>Строительство и реконструкция а\дорог</t>
  </si>
  <si>
    <t>Установка автопавильонов</t>
  </si>
  <si>
    <t>Очистка от кустарника придорожной полосы</t>
  </si>
  <si>
    <t>Ремонт фотоаппарата</t>
  </si>
  <si>
    <t xml:space="preserve">КОГКУ "Дорожный комитет" за 2016 год </t>
  </si>
  <si>
    <t>Лимит                                        на 2016 год                                      руб.</t>
  </si>
  <si>
    <t>Прочие выплаты (суточные,комп.выплаты по уходу до 3 лет,трансп.услуги,найм жилья,иные расходы связ.с команд.)</t>
  </si>
  <si>
    <t>Оплата потребление электроэнергии (1003)</t>
  </si>
  <si>
    <t>Оплата водоснабжение,канализация (1004)</t>
  </si>
  <si>
    <t>71.34.10.130</t>
  </si>
  <si>
    <t>Работы,услуги по содержанию имущества</t>
  </si>
  <si>
    <t>50.20.11.000</t>
  </si>
  <si>
    <t>Услуги по планировке ландшафта</t>
  </si>
  <si>
    <t>Услуги по ремонту и техобслуживанию инструментов и приборов для измерения, испытания и навигации</t>
  </si>
  <si>
    <t xml:space="preserve">Тех.обслуживание и ремонт систем вентиляции и кондиционирования воздуха </t>
  </si>
  <si>
    <t>Ремонт и тех.обслуживание шлагбаума</t>
  </si>
  <si>
    <t>92.51.12.121</t>
  </si>
  <si>
    <t>Услуги по обработке архивных документов</t>
  </si>
  <si>
    <t>64.20.28.190</t>
  </si>
  <si>
    <t>Спутниковый мониторинг автотранспорта</t>
  </si>
  <si>
    <t>Препараты фармацевтические прочие</t>
  </si>
  <si>
    <t>ПИР по кап.ремонтам</t>
  </si>
  <si>
    <t>ПИР по ремонут а\дорог общего пользования</t>
  </si>
  <si>
    <t>ПИР по строительству</t>
  </si>
  <si>
    <t>Мероприятия рег.программ в сфере дор.хозяйства по решениям Правительства РФ(ФБ)</t>
  </si>
  <si>
    <t>Безопасность движения к\ремонт</t>
  </si>
  <si>
    <t>Безопасность движения -ремонт</t>
  </si>
  <si>
    <t>Ремонт а\дорог и мостов общего пользования, сооружений</t>
  </si>
  <si>
    <t>13я0054200</t>
  </si>
  <si>
    <t xml:space="preserve">Безопасность движения - содержание автомобильных дорог </t>
  </si>
  <si>
    <t>13я0004300</t>
  </si>
  <si>
    <t>Безопасность движения -строительство</t>
  </si>
  <si>
    <t>13я0018000</t>
  </si>
  <si>
    <t>Кассовый расход по 31.01.16г             (вкл.)                                             руб.</t>
  </si>
  <si>
    <t xml:space="preserve">Остаток денежных средств на л/сч          по 31.01.16г                      </t>
  </si>
  <si>
    <t>Остаток ден.ср-в в кассе                                 по 31.01.16г                ( вкл.)        руб.</t>
  </si>
  <si>
    <t>Остаток ден.ср-в в кассе                                 по 26.02.16г                ( вкл.)        руб.</t>
  </si>
  <si>
    <t>Кассовый расход по 29.02.16г             (вкл.)                                             руб.</t>
  </si>
  <si>
    <t xml:space="preserve">Остаток денежных средств на л/сч          по 29.02.16г                      </t>
  </si>
  <si>
    <t>Исп.Кузьминых И.А.</t>
  </si>
  <si>
    <t>Безопасность движения -строительство ПИР</t>
  </si>
  <si>
    <t>Услуги по курьерской доставке</t>
  </si>
  <si>
    <t>49.20.15.000</t>
  </si>
  <si>
    <t>Туалетная бумага</t>
  </si>
  <si>
    <t>17.23.13.199</t>
  </si>
  <si>
    <t>17.22.11.110</t>
  </si>
  <si>
    <t>58.19.14.110</t>
  </si>
  <si>
    <t>53.10.12.000</t>
  </si>
  <si>
    <t>61.10.11.110</t>
  </si>
  <si>
    <t>61.10.43.000</t>
  </si>
  <si>
    <t>61.20.11.000</t>
  </si>
  <si>
    <t>50.40.19.000</t>
  </si>
  <si>
    <t>51.21.12.000</t>
  </si>
  <si>
    <t>35.30.12.130</t>
  </si>
  <si>
    <t>35.13.10.000</t>
  </si>
  <si>
    <t>36.00.20.130</t>
  </si>
  <si>
    <t>77.12.19.000</t>
  </si>
  <si>
    <t>45.20.11.000</t>
  </si>
  <si>
    <t>38.11.29.000</t>
  </si>
  <si>
    <t>81.30.10.000</t>
  </si>
  <si>
    <t>95.11.10.000</t>
  </si>
  <si>
    <t>95.22.10.110</t>
  </si>
  <si>
    <t>95.22.10.120</t>
  </si>
  <si>
    <t>41.20.40.000</t>
  </si>
  <si>
    <t>71.12.40.120</t>
  </si>
  <si>
    <t>43.21.10.140</t>
  </si>
  <si>
    <t>33.13.11.000</t>
  </si>
  <si>
    <t>33.12.18.000</t>
  </si>
  <si>
    <t>33.13.19.000</t>
  </si>
  <si>
    <t>33.11.11.000</t>
  </si>
  <si>
    <t>33.12.12.000</t>
  </si>
  <si>
    <t>43.29.11.140</t>
  </si>
  <si>
    <t>71.12.40.110</t>
  </si>
  <si>
    <t>38.12.13.000</t>
  </si>
  <si>
    <t>71.12.12.000</t>
  </si>
  <si>
    <t>65.12.21.000</t>
  </si>
  <si>
    <t>85.42.19.000</t>
  </si>
  <si>
    <t>94.12.10.000</t>
  </si>
  <si>
    <t>69.10.16.000</t>
  </si>
  <si>
    <t>69.10.14.000</t>
  </si>
  <si>
    <t>39.00.23.000</t>
  </si>
  <si>
    <t>43.22.12.160</t>
  </si>
  <si>
    <t>86.21.10.110</t>
  </si>
  <si>
    <t>86.90.15.000</t>
  </si>
  <si>
    <t>58.29.50.000</t>
  </si>
  <si>
    <t>80.10.12.000</t>
  </si>
  <si>
    <t>18.12.14.000</t>
  </si>
  <si>
    <t>74.30.11.000</t>
  </si>
  <si>
    <t>91.01.12.000</t>
  </si>
  <si>
    <t>53.10.11.000</t>
  </si>
  <si>
    <t>Монтаж(демонтаж)навигационного оборудования</t>
  </si>
  <si>
    <t>61.90.10.110</t>
  </si>
  <si>
    <t>43.21.10.120</t>
  </si>
  <si>
    <t>Прочие расходы(открытки,грамоты)</t>
  </si>
  <si>
    <t>58.19.11.000</t>
  </si>
  <si>
    <t>01.19.21.190</t>
  </si>
  <si>
    <t>19.20.21.122</t>
  </si>
  <si>
    <t>19.20.29.110</t>
  </si>
  <si>
    <t>19.20.42.190</t>
  </si>
  <si>
    <t>22.29.25.000</t>
  </si>
  <si>
    <t>17.12.14.110</t>
  </si>
  <si>
    <t>29.32.30.390</t>
  </si>
  <si>
    <t>22.11.11.000</t>
  </si>
  <si>
    <t>20.14.71.190</t>
  </si>
  <si>
    <t>20.30.22.110</t>
  </si>
  <si>
    <t>26.20.40.190</t>
  </si>
  <si>
    <t>26.20.17.110</t>
  </si>
  <si>
    <t>26.20.40.110</t>
  </si>
  <si>
    <t>27.20.23.190</t>
  </si>
  <si>
    <t>29.32.30.169</t>
  </si>
  <si>
    <t>21.20.23.190</t>
  </si>
  <si>
    <t>32.91.11.000</t>
  </si>
  <si>
    <t>27.40.14.000</t>
  </si>
  <si>
    <t>27.32.11.000</t>
  </si>
  <si>
    <t>22.23.19.000</t>
  </si>
  <si>
    <t>25.99.29.190</t>
  </si>
  <si>
    <t>20.41.31.210</t>
  </si>
  <si>
    <t>58.11.12.000</t>
  </si>
  <si>
    <t>13.92.14.120</t>
  </si>
  <si>
    <t>20.42.15.141</t>
  </si>
  <si>
    <t xml:space="preserve">ПИР по ремонту </t>
  </si>
  <si>
    <t>Всего кап.ремонт и ремонт</t>
  </si>
  <si>
    <t>Всего строительство и реконструкция</t>
  </si>
  <si>
    <t>Мероприятия рег.программ в сфере дорожного хозяйства по решениям Правительства РФ(ФБ) (Строит-во а\д)</t>
  </si>
  <si>
    <t>71.12.35.110</t>
  </si>
  <si>
    <t>Услуги в области кадастровой деятельности</t>
  </si>
  <si>
    <t xml:space="preserve">     ОКПД2</t>
  </si>
  <si>
    <t>33.20.50.000</t>
  </si>
  <si>
    <t>Услуги по монтажу (демонтажу) электрического оборудования</t>
  </si>
  <si>
    <t>Уплата иных платежей</t>
  </si>
  <si>
    <t>Фин.обеспечение дорожной деятельности в рамках подпрограммы "Дорожное хозяйство"(Ремонты, содержание дорог)</t>
  </si>
  <si>
    <t>Остаток ден.ср-в в кассе                                 по 31.12.16г                ( вкл.)        руб.</t>
  </si>
  <si>
    <t xml:space="preserve">Остаток денежных средств на л/сч          по 31.12.16г                      </t>
  </si>
  <si>
    <t>Прочие расходы, в т.ч.</t>
  </si>
  <si>
    <t>Фактические затраты на денежное содержание работников  КОГКУ "Дорожный комитет Кировской области" за 2016 год</t>
  </si>
  <si>
    <t xml:space="preserve">ИТОГО </t>
  </si>
  <si>
    <t>Затраты на денежное содержание работников за 2016 год,                                             руб.</t>
  </si>
  <si>
    <t>ОСГУ</t>
  </si>
  <si>
    <t>Наименование расходов</t>
  </si>
  <si>
    <r>
      <rPr>
        <sz val="14"/>
        <rFont val="Times New Roman"/>
        <family val="1"/>
        <charset val="204"/>
      </rPr>
      <t xml:space="preserve"> Штатная численность работников КОГКУ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"Дорожный комитет Кировской области" на 2016 год - 79,5 единиц.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</si>
</sst>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_ ;\-#,##0.00\ "/>
    <numFmt numFmtId="166" formatCode="_-* #,##0.0000_р_._-;\-* #,##0.0000_р_._-;_-* &quot;-&quot;??_р_._-;_-@_-"/>
    <numFmt numFmtId="167" formatCode="#,##0.00_р_."/>
  </numFmts>
  <fonts count="18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i/>
      <sz val="8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0">
    <xf numFmtId="0" fontId="0" fillId="0" borderId="0" xfId="0"/>
    <xf numFmtId="0" fontId="2" fillId="0" borderId="0" xfId="0" applyFont="1" applyBorder="1" applyAlignment="1"/>
    <xf numFmtId="2" fontId="2" fillId="0" borderId="0" xfId="0" applyNumberFormat="1" applyFont="1" applyBorder="1" applyAlignment="1"/>
    <xf numFmtId="0" fontId="2" fillId="0" borderId="0" xfId="0" applyFont="1" applyBorder="1"/>
    <xf numFmtId="2" fontId="2" fillId="0" borderId="0" xfId="0" applyNumberFormat="1" applyFont="1" applyBorder="1"/>
    <xf numFmtId="0" fontId="2" fillId="0" borderId="1" xfId="0" applyFont="1" applyBorder="1" applyAlignment="1">
      <alignment wrapText="1"/>
    </xf>
    <xf numFmtId="43" fontId="2" fillId="0" borderId="0" xfId="0" applyNumberFormat="1" applyFont="1" applyBorder="1"/>
    <xf numFmtId="2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2" fillId="4" borderId="1" xfId="0" applyFont="1" applyFill="1" applyBorder="1"/>
    <xf numFmtId="0" fontId="2" fillId="0" borderId="7" xfId="0" applyFont="1" applyBorder="1"/>
    <xf numFmtId="164" fontId="2" fillId="0" borderId="4" xfId="0" applyNumberFormat="1" applyFont="1" applyFill="1" applyBorder="1"/>
    <xf numFmtId="2" fontId="2" fillId="0" borderId="5" xfId="0" applyNumberFormat="1" applyFont="1" applyFill="1" applyBorder="1"/>
    <xf numFmtId="2" fontId="2" fillId="0" borderId="1" xfId="0" applyNumberFormat="1" applyFont="1" applyBorder="1"/>
    <xf numFmtId="4" fontId="2" fillId="0" borderId="1" xfId="0" applyNumberFormat="1" applyFont="1" applyFill="1" applyBorder="1" applyAlignment="1">
      <alignment horizontal="right"/>
    </xf>
    <xf numFmtId="43" fontId="2" fillId="0" borderId="1" xfId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164" fontId="2" fillId="0" borderId="1" xfId="0" applyNumberFormat="1" applyFont="1" applyBorder="1"/>
    <xf numFmtId="164" fontId="2" fillId="0" borderId="7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/>
    <xf numFmtId="0" fontId="2" fillId="0" borderId="4" xfId="0" applyFont="1" applyFill="1" applyBorder="1"/>
    <xf numFmtId="2" fontId="2" fillId="0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3" borderId="4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/>
    <xf numFmtId="164" fontId="3" fillId="4" borderId="7" xfId="0" applyNumberFormat="1" applyFont="1" applyFill="1" applyBorder="1"/>
    <xf numFmtId="164" fontId="3" fillId="4" borderId="4" xfId="0" applyNumberFormat="1" applyFont="1" applyFill="1" applyBorder="1"/>
    <xf numFmtId="2" fontId="3" fillId="4" borderId="1" xfId="0" applyNumberFormat="1" applyFont="1" applyFill="1" applyBorder="1"/>
    <xf numFmtId="4" fontId="3" fillId="4" borderId="6" xfId="0" applyNumberFormat="1" applyFont="1" applyFill="1" applyBorder="1" applyAlignment="1">
      <alignment horizontal="right"/>
    </xf>
    <xf numFmtId="43" fontId="3" fillId="4" borderId="1" xfId="1" applyFont="1" applyFill="1" applyBorder="1"/>
    <xf numFmtId="0" fontId="5" fillId="4" borderId="1" xfId="0" applyFont="1" applyFill="1" applyBorder="1" applyAlignment="1">
      <alignment horizontal="center" wrapText="1"/>
    </xf>
    <xf numFmtId="43" fontId="2" fillId="0" borderId="1" xfId="1" applyFont="1" applyFill="1" applyBorder="1"/>
    <xf numFmtId="2" fontId="2" fillId="0" borderId="5" xfId="0" applyNumberFormat="1" applyFont="1" applyBorder="1"/>
    <xf numFmtId="43" fontId="2" fillId="4" borderId="1" xfId="1" applyFont="1" applyFill="1" applyBorder="1"/>
    <xf numFmtId="0" fontId="2" fillId="0" borderId="10" xfId="0" applyFont="1" applyFill="1" applyBorder="1" applyAlignment="1">
      <alignment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164" fontId="2" fillId="0" borderId="4" xfId="0" applyNumberFormat="1" applyFont="1" applyBorder="1"/>
    <xf numFmtId="0" fontId="5" fillId="4" borderId="1" xfId="0" applyFont="1" applyFill="1" applyBorder="1" applyAlignment="1">
      <alignment horizontal="left" wrapText="1"/>
    </xf>
    <xf numFmtId="164" fontId="2" fillId="0" borderId="5" xfId="0" applyNumberFormat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 applyAlignment="1">
      <alignment vertical="top" wrapText="1"/>
    </xf>
    <xf numFmtId="164" fontId="2" fillId="0" borderId="5" xfId="0" applyNumberFormat="1" applyFont="1" applyFill="1" applyBorder="1"/>
    <xf numFmtId="0" fontId="2" fillId="0" borderId="1" xfId="0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wrapText="1"/>
    </xf>
    <xf numFmtId="2" fontId="2" fillId="0" borderId="5" xfId="0" applyNumberFormat="1" applyFont="1" applyBorder="1" applyAlignment="1">
      <alignment wrapText="1"/>
    </xf>
    <xf numFmtId="2" fontId="2" fillId="0" borderId="5" xfId="0" applyNumberFormat="1" applyFont="1" applyBorder="1" applyAlignment="1">
      <alignment horizontal="right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2" xfId="0" applyFont="1" applyBorder="1"/>
    <xf numFmtId="0" fontId="3" fillId="0" borderId="1" xfId="0" applyFont="1" applyBorder="1" applyAlignment="1">
      <alignment vertical="center" wrapText="1"/>
    </xf>
    <xf numFmtId="2" fontId="3" fillId="4" borderId="2" xfId="0" applyNumberFormat="1" applyFont="1" applyFill="1" applyBorder="1"/>
    <xf numFmtId="0" fontId="4" fillId="4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/>
    <xf numFmtId="164" fontId="3" fillId="3" borderId="8" xfId="0" applyNumberFormat="1" applyFont="1" applyFill="1" applyBorder="1"/>
    <xf numFmtId="0" fontId="3" fillId="4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4" fontId="3" fillId="0" borderId="6" xfId="0" applyNumberFormat="1" applyFont="1" applyBorder="1" applyAlignment="1">
      <alignment horizontal="right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2" fillId="5" borderId="1" xfId="0" applyNumberFormat="1" applyFont="1" applyFill="1" applyBorder="1" applyAlignment="1"/>
    <xf numFmtId="164" fontId="2" fillId="5" borderId="7" xfId="0" applyNumberFormat="1" applyFont="1" applyFill="1" applyBorder="1" applyAlignment="1"/>
    <xf numFmtId="164" fontId="2" fillId="3" borderId="4" xfId="0" applyNumberFormat="1" applyFont="1" applyFill="1" applyBorder="1" applyAlignment="1"/>
    <xf numFmtId="0" fontId="5" fillId="0" borderId="1" xfId="0" applyFont="1" applyBorder="1" applyAlignment="1">
      <alignment wrapText="1"/>
    </xf>
    <xf numFmtId="43" fontId="2" fillId="0" borderId="5" xfId="1" applyFont="1" applyFill="1" applyBorder="1"/>
    <xf numFmtId="43" fontId="2" fillId="0" borderId="1" xfId="1" applyFont="1" applyBorder="1" applyAlignment="1">
      <alignment horizontal="center"/>
    </xf>
    <xf numFmtId="164" fontId="2" fillId="0" borderId="1" xfId="0" applyNumberFormat="1" applyFont="1" applyFill="1" applyBorder="1"/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39" fontId="3" fillId="0" borderId="0" xfId="1" applyNumberFormat="1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/>
    <xf numFmtId="166" fontId="3" fillId="0" borderId="0" xfId="0" applyNumberFormat="1" applyFont="1" applyBorder="1"/>
    <xf numFmtId="43" fontId="3" fillId="0" borderId="0" xfId="1" applyFont="1" applyBorder="1"/>
    <xf numFmtId="43" fontId="2" fillId="0" borderId="5" xfId="1" applyFont="1" applyFill="1" applyBorder="1" applyAlignment="1">
      <alignment horizontal="center"/>
    </xf>
    <xf numFmtId="4" fontId="2" fillId="0" borderId="0" xfId="0" applyNumberFormat="1" applyFont="1" applyBorder="1"/>
    <xf numFmtId="2" fontId="2" fillId="0" borderId="2" xfId="0" applyNumberFormat="1" applyFont="1" applyBorder="1"/>
    <xf numFmtId="0" fontId="2" fillId="0" borderId="1" xfId="0" applyFont="1" applyBorder="1" applyAlignment="1">
      <alignment horizontal="right" wrapText="1"/>
    </xf>
    <xf numFmtId="43" fontId="6" fillId="0" borderId="0" xfId="0" applyNumberFormat="1" applyFont="1" applyBorder="1" applyAlignment="1">
      <alignment horizontal="left"/>
    </xf>
    <xf numFmtId="4" fontId="2" fillId="6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2" fillId="0" borderId="8" xfId="0" applyNumberFormat="1" applyFont="1" applyFill="1" applyBorder="1"/>
    <xf numFmtId="43" fontId="2" fillId="0" borderId="5" xfId="1" applyFont="1" applyBorder="1"/>
    <xf numFmtId="4" fontId="2" fillId="0" borderId="7" xfId="0" applyNumberFormat="1" applyFont="1" applyBorder="1" applyAlignment="1">
      <alignment horizontal="right"/>
    </xf>
    <xf numFmtId="2" fontId="3" fillId="0" borderId="5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43" fontId="3" fillId="0" borderId="0" xfId="1" applyFont="1" applyFill="1" applyBorder="1"/>
    <xf numFmtId="43" fontId="3" fillId="9" borderId="1" xfId="1" applyFont="1" applyFill="1" applyBorder="1"/>
    <xf numFmtId="2" fontId="3" fillId="9" borderId="1" xfId="0" applyNumberFormat="1" applyFont="1" applyFill="1" applyBorder="1"/>
    <xf numFmtId="4" fontId="3" fillId="9" borderId="1" xfId="0" applyNumberFormat="1" applyFont="1" applyFill="1" applyBorder="1" applyAlignment="1">
      <alignment horizontal="right"/>
    </xf>
    <xf numFmtId="43" fontId="3" fillId="9" borderId="5" xfId="1" applyFont="1" applyFill="1" applyBorder="1"/>
    <xf numFmtId="4" fontId="3" fillId="9" borderId="7" xfId="0" applyNumberFormat="1" applyFont="1" applyFill="1" applyBorder="1" applyAlignment="1">
      <alignment horizontal="right"/>
    </xf>
    <xf numFmtId="4" fontId="3" fillId="9" borderId="6" xfId="0" applyNumberFormat="1" applyFont="1" applyFill="1" applyBorder="1" applyAlignment="1">
      <alignment horizontal="right"/>
    </xf>
    <xf numFmtId="2" fontId="3" fillId="9" borderId="5" xfId="0" applyNumberFormat="1" applyFont="1" applyFill="1" applyBorder="1" applyAlignment="1">
      <alignment horizontal="center"/>
    </xf>
    <xf numFmtId="43" fontId="3" fillId="9" borderId="5" xfId="1" applyFont="1" applyFill="1" applyBorder="1" applyAlignment="1">
      <alignment horizontal="center"/>
    </xf>
    <xf numFmtId="43" fontId="3" fillId="4" borderId="5" xfId="1" applyFont="1" applyFill="1" applyBorder="1"/>
    <xf numFmtId="0" fontId="5" fillId="4" borderId="10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10" borderId="1" xfId="0" applyFont="1" applyFill="1" applyBorder="1"/>
    <xf numFmtId="43" fontId="3" fillId="10" borderId="1" xfId="1" applyFont="1" applyFill="1" applyBorder="1" applyAlignment="1"/>
    <xf numFmtId="2" fontId="3" fillId="10" borderId="1" xfId="0" applyNumberFormat="1" applyFont="1" applyFill="1" applyBorder="1" applyAlignment="1"/>
    <xf numFmtId="43" fontId="3" fillId="11" borderId="1" xfId="1" applyFont="1" applyFill="1" applyBorder="1" applyAlignment="1"/>
    <xf numFmtId="43" fontId="3" fillId="11" borderId="1" xfId="1" applyFont="1" applyFill="1" applyBorder="1"/>
    <xf numFmtId="43" fontId="3" fillId="11" borderId="1" xfId="0" applyNumberFormat="1" applyFont="1" applyFill="1" applyBorder="1"/>
    <xf numFmtId="43" fontId="3" fillId="11" borderId="1" xfId="1" applyFont="1" applyFill="1" applyBorder="1" applyAlignment="1">
      <alignment horizontal="center"/>
    </xf>
    <xf numFmtId="0" fontId="4" fillId="11" borderId="5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7" xfId="0" applyBorder="1" applyAlignment="1"/>
    <xf numFmtId="0" fontId="4" fillId="0" borderId="6" xfId="0" applyFont="1" applyFill="1" applyBorder="1" applyAlignment="1"/>
    <xf numFmtId="43" fontId="2" fillId="0" borderId="0" xfId="1" applyFont="1" applyBorder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43" fontId="3" fillId="8" borderId="1" xfId="1" applyFont="1" applyFill="1" applyBorder="1"/>
    <xf numFmtId="43" fontId="2" fillId="8" borderId="1" xfId="1" applyFont="1" applyFill="1" applyBorder="1"/>
    <xf numFmtId="165" fontId="2" fillId="0" borderId="1" xfId="1" applyNumberFormat="1" applyFont="1" applyBorder="1" applyAlignment="1">
      <alignment horizontal="center"/>
    </xf>
    <xf numFmtId="2" fontId="5" fillId="0" borderId="0" xfId="0" applyNumberFormat="1" applyFont="1" applyBorder="1"/>
    <xf numFmtId="43" fontId="11" fillId="0" borderId="0" xfId="1" applyFont="1" applyBorder="1"/>
    <xf numFmtId="49" fontId="5" fillId="4" borderId="1" xfId="0" applyNumberFormat="1" applyFont="1" applyFill="1" applyBorder="1" applyAlignment="1">
      <alignment horizontal="left" wrapText="1"/>
    </xf>
    <xf numFmtId="2" fontId="3" fillId="9" borderId="5" xfId="0" applyNumberFormat="1" applyFont="1" applyFill="1" applyBorder="1" applyAlignment="1">
      <alignment horizontal="left"/>
    </xf>
    <xf numFmtId="0" fontId="2" fillId="12" borderId="1" xfId="0" applyFont="1" applyFill="1" applyBorder="1"/>
    <xf numFmtId="164" fontId="2" fillId="12" borderId="7" xfId="0" applyNumberFormat="1" applyFont="1" applyFill="1" applyBorder="1"/>
    <xf numFmtId="164" fontId="2" fillId="12" borderId="4" xfId="0" applyNumberFormat="1" applyFont="1" applyFill="1" applyBorder="1"/>
    <xf numFmtId="43" fontId="3" fillId="12" borderId="5" xfId="1" applyFont="1" applyFill="1" applyBorder="1"/>
    <xf numFmtId="164" fontId="2" fillId="12" borderId="5" xfId="0" applyNumberFormat="1" applyFont="1" applyFill="1" applyBorder="1"/>
    <xf numFmtId="43" fontId="3" fillId="12" borderId="1" xfId="1" applyFont="1" applyFill="1" applyBorder="1"/>
    <xf numFmtId="43" fontId="2" fillId="12" borderId="1" xfId="1" applyFont="1" applyFill="1" applyBorder="1"/>
    <xf numFmtId="43" fontId="2" fillId="12" borderId="5" xfId="1" applyFont="1" applyFill="1" applyBorder="1"/>
    <xf numFmtId="4" fontId="2" fillId="12" borderId="1" xfId="0" applyNumberFormat="1" applyFont="1" applyFill="1" applyBorder="1" applyAlignment="1">
      <alignment horizontal="right"/>
    </xf>
    <xf numFmtId="2" fontId="2" fillId="12" borderId="1" xfId="0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0" fontId="4" fillId="10" borderId="6" xfId="0" applyFont="1" applyFill="1" applyBorder="1" applyAlignment="1"/>
    <xf numFmtId="4" fontId="3" fillId="0" borderId="0" xfId="0" applyNumberFormat="1" applyFont="1" applyBorder="1" applyAlignment="1"/>
    <xf numFmtId="43" fontId="12" fillId="0" borderId="0" xfId="1" applyFont="1" applyFill="1" applyBorder="1"/>
    <xf numFmtId="43" fontId="2" fillId="0" borderId="0" xfId="1" applyFont="1" applyBorder="1" applyAlignment="1"/>
    <xf numFmtId="43" fontId="12" fillId="0" borderId="0" xfId="1" applyFont="1" applyBorder="1"/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43" fontId="3" fillId="0" borderId="5" xfId="1" applyFont="1" applyFill="1" applyBorder="1"/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/>
    <xf numFmtId="43" fontId="2" fillId="7" borderId="1" xfId="1" applyFont="1" applyFill="1" applyBorder="1"/>
    <xf numFmtId="164" fontId="2" fillId="7" borderId="1" xfId="0" applyNumberFormat="1" applyFont="1" applyFill="1" applyBorder="1"/>
    <xf numFmtId="43" fontId="3" fillId="7" borderId="1" xfId="1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43" fontId="1" fillId="0" borderId="0" xfId="1" applyFont="1" applyBorder="1"/>
    <xf numFmtId="0" fontId="0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43" fontId="7" fillId="9" borderId="5" xfId="1" applyFont="1" applyFill="1" applyBorder="1" applyAlignment="1">
      <alignment horizontal="center"/>
    </xf>
    <xf numFmtId="2" fontId="7" fillId="9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0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0" fillId="4" borderId="1" xfId="0" applyFont="1" applyFill="1" applyBorder="1"/>
    <xf numFmtId="0" fontId="0" fillId="0" borderId="7" xfId="0" applyFont="1" applyBorder="1"/>
    <xf numFmtId="164" fontId="0" fillId="0" borderId="4" xfId="0" applyNumberFormat="1" applyFont="1" applyFill="1" applyBorder="1"/>
    <xf numFmtId="43" fontId="0" fillId="0" borderId="5" xfId="1" applyFont="1" applyFill="1" applyBorder="1"/>
    <xf numFmtId="2" fontId="0" fillId="0" borderId="5" xfId="0" applyNumberFormat="1" applyFont="1" applyFill="1" applyBorder="1"/>
    <xf numFmtId="4" fontId="0" fillId="0" borderId="1" xfId="0" applyNumberFormat="1" applyFont="1" applyFill="1" applyBorder="1" applyAlignment="1">
      <alignment horizontal="right"/>
    </xf>
    <xf numFmtId="43" fontId="0" fillId="0" borderId="1" xfId="1" applyFont="1" applyBorder="1"/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2" xfId="0" applyNumberFormat="1" applyFont="1" applyBorder="1"/>
    <xf numFmtId="164" fontId="0" fillId="0" borderId="1" xfId="0" applyNumberFormat="1" applyFont="1" applyBorder="1"/>
    <xf numFmtId="164" fontId="0" fillId="0" borderId="7" xfId="0" applyNumberFormat="1" applyFont="1" applyBorder="1"/>
    <xf numFmtId="4" fontId="0" fillId="0" borderId="6" xfId="0" applyNumberFormat="1" applyFont="1" applyBorder="1" applyAlignment="1">
      <alignment horizontal="right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wrapText="1"/>
    </xf>
    <xf numFmtId="164" fontId="0" fillId="4" borderId="1" xfId="0" applyNumberFormat="1" applyFont="1" applyFill="1" applyBorder="1"/>
    <xf numFmtId="0" fontId="0" fillId="0" borderId="4" xfId="0" applyFont="1" applyFill="1" applyBorder="1"/>
    <xf numFmtId="2" fontId="0" fillId="0" borderId="1" xfId="0" applyNumberFormat="1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64" fontId="7" fillId="2" borderId="2" xfId="0" applyNumberFormat="1" applyFont="1" applyFill="1" applyBorder="1"/>
    <xf numFmtId="164" fontId="7" fillId="2" borderId="3" xfId="0" applyNumberFormat="1" applyFont="1" applyFill="1" applyBorder="1"/>
    <xf numFmtId="164" fontId="7" fillId="3" borderId="4" xfId="0" applyNumberFormat="1" applyFont="1" applyFill="1" applyBorder="1"/>
    <xf numFmtId="43" fontId="7" fillId="9" borderId="5" xfId="1" applyFont="1" applyFill="1" applyBorder="1"/>
    <xf numFmtId="2" fontId="7" fillId="9" borderId="5" xfId="0" applyNumberFormat="1" applyFont="1" applyFill="1" applyBorder="1" applyAlignment="1">
      <alignment horizontal="left"/>
    </xf>
    <xf numFmtId="4" fontId="7" fillId="9" borderId="6" xfId="0" applyNumberFormat="1" applyFont="1" applyFill="1" applyBorder="1" applyAlignment="1">
      <alignment horizontal="right"/>
    </xf>
    <xf numFmtId="43" fontId="7" fillId="9" borderId="1" xfId="1" applyFont="1" applyFill="1" applyBorder="1"/>
    <xf numFmtId="0" fontId="7" fillId="4" borderId="1" xfId="0" applyFont="1" applyFill="1" applyBorder="1" applyAlignment="1">
      <alignment horizontal="center" wrapText="1"/>
    </xf>
    <xf numFmtId="43" fontId="7" fillId="4" borderId="1" xfId="1" applyFont="1" applyFill="1" applyBorder="1"/>
    <xf numFmtId="2" fontId="7" fillId="4" borderId="1" xfId="0" applyNumberFormat="1" applyFont="1" applyFill="1" applyBorder="1"/>
    <xf numFmtId="4" fontId="7" fillId="4" borderId="6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43" fontId="0" fillId="0" borderId="1" xfId="1" applyFont="1" applyFill="1" applyBorder="1"/>
    <xf numFmtId="0" fontId="13" fillId="0" borderId="1" xfId="0" applyFont="1" applyFill="1" applyBorder="1" applyAlignment="1">
      <alignment horizontal="center" wrapText="1"/>
    </xf>
    <xf numFmtId="2" fontId="0" fillId="0" borderId="5" xfId="0" applyNumberFormat="1" applyFont="1" applyBorder="1"/>
    <xf numFmtId="43" fontId="0" fillId="4" borderId="1" xfId="1" applyFont="1" applyFill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13" fillId="4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164" fontId="0" fillId="0" borderId="4" xfId="0" applyNumberFormat="1" applyFont="1" applyBorder="1"/>
    <xf numFmtId="43" fontId="0" fillId="0" borderId="5" xfId="1" applyFont="1" applyBorder="1"/>
    <xf numFmtId="0" fontId="13" fillId="4" borderId="1" xfId="0" applyFont="1" applyFill="1" applyBorder="1" applyAlignment="1">
      <alignment horizontal="left" wrapText="1"/>
    </xf>
    <xf numFmtId="164" fontId="0" fillId="0" borderId="5" xfId="0" applyNumberFormat="1" applyFont="1" applyBorder="1"/>
    <xf numFmtId="0" fontId="0" fillId="0" borderId="5" xfId="0" applyFont="1" applyBorder="1"/>
    <xf numFmtId="0" fontId="0" fillId="0" borderId="1" xfId="0" applyFont="1" applyBorder="1" applyAlignment="1">
      <alignment vertical="top" wrapText="1"/>
    </xf>
    <xf numFmtId="49" fontId="13" fillId="4" borderId="1" xfId="0" applyNumberFormat="1" applyFont="1" applyFill="1" applyBorder="1" applyAlignment="1">
      <alignment horizontal="center" wrapText="1"/>
    </xf>
    <xf numFmtId="2" fontId="0" fillId="0" borderId="5" xfId="0" applyNumberFormat="1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2" fontId="0" fillId="0" borderId="5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0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43" fontId="0" fillId="0" borderId="0" xfId="1" applyFont="1" applyBorder="1"/>
    <xf numFmtId="2" fontId="7" fillId="9" borderId="1" xfId="0" applyNumberFormat="1" applyFont="1" applyFill="1" applyBorder="1"/>
    <xf numFmtId="4" fontId="0" fillId="0" borderId="7" xfId="0" applyNumberFormat="1" applyFont="1" applyBorder="1" applyAlignment="1">
      <alignment horizontal="right"/>
    </xf>
    <xf numFmtId="4" fontId="7" fillId="9" borderId="7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4" fontId="7" fillId="0" borderId="6" xfId="0" applyNumberFormat="1" applyFont="1" applyBorder="1" applyAlignment="1">
      <alignment horizontal="right"/>
    </xf>
    <xf numFmtId="164" fontId="0" fillId="0" borderId="5" xfId="0" applyNumberFormat="1" applyFont="1" applyFill="1" applyBorder="1"/>
    <xf numFmtId="49" fontId="0" fillId="0" borderId="1" xfId="0" applyNumberFormat="1" applyFont="1" applyBorder="1" applyAlignment="1">
      <alignment horizontal="right"/>
    </xf>
    <xf numFmtId="43" fontId="7" fillId="11" borderId="1" xfId="1" applyFont="1" applyFill="1" applyBorder="1" applyAlignment="1"/>
    <xf numFmtId="43" fontId="0" fillId="0" borderId="0" xfId="0" applyNumberFormat="1" applyFont="1" applyBorder="1"/>
    <xf numFmtId="4" fontId="0" fillId="0" borderId="0" xfId="0" applyNumberFormat="1" applyFont="1" applyBorder="1"/>
    <xf numFmtId="0" fontId="13" fillId="0" borderId="1" xfId="0" applyFont="1" applyBorder="1" applyAlignment="1">
      <alignment wrapText="1"/>
    </xf>
    <xf numFmtId="2" fontId="7" fillId="0" borderId="5" xfId="0" applyNumberFormat="1" applyFont="1" applyFill="1" applyBorder="1"/>
    <xf numFmtId="164" fontId="7" fillId="0" borderId="5" xfId="0" applyNumberFormat="1" applyFont="1" applyFill="1" applyBorder="1"/>
    <xf numFmtId="0" fontId="8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12" borderId="1" xfId="0" applyFont="1" applyFill="1" applyBorder="1"/>
    <xf numFmtId="164" fontId="0" fillId="12" borderId="7" xfId="0" applyNumberFormat="1" applyFont="1" applyFill="1" applyBorder="1"/>
    <xf numFmtId="164" fontId="0" fillId="12" borderId="4" xfId="0" applyNumberFormat="1" applyFont="1" applyFill="1" applyBorder="1"/>
    <xf numFmtId="43" fontId="7" fillId="0" borderId="5" xfId="1" applyFont="1" applyFill="1" applyBorder="1"/>
    <xf numFmtId="43" fontId="7" fillId="12" borderId="5" xfId="1" applyFont="1" applyFill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43" fontId="0" fillId="0" borderId="1" xfId="1" applyFont="1" applyBorder="1" applyAlignment="1">
      <alignment horizontal="center"/>
    </xf>
    <xf numFmtId="43" fontId="7" fillId="12" borderId="1" xfId="1" applyFont="1" applyFill="1" applyBorder="1"/>
    <xf numFmtId="0" fontId="13" fillId="0" borderId="1" xfId="0" applyFont="1" applyFill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164" fontId="0" fillId="12" borderId="5" xfId="0" applyNumberFormat="1" applyFont="1" applyFill="1" applyBorder="1"/>
    <xf numFmtId="4" fontId="0" fillId="12" borderId="1" xfId="0" applyNumberFormat="1" applyFont="1" applyFill="1" applyBorder="1" applyAlignment="1">
      <alignment horizontal="right"/>
    </xf>
    <xf numFmtId="43" fontId="0" fillId="12" borderId="1" xfId="1" applyFont="1" applyFill="1" applyBorder="1"/>
    <xf numFmtId="2" fontId="0" fillId="12" borderId="1" xfId="0" applyNumberFormat="1" applyFont="1" applyFill="1" applyBorder="1" applyAlignment="1">
      <alignment horizontal="center"/>
    </xf>
    <xf numFmtId="43" fontId="0" fillId="8" borderId="1" xfId="1" applyFont="1" applyFill="1" applyBorder="1"/>
    <xf numFmtId="165" fontId="0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0" fillId="7" borderId="1" xfId="0" applyFont="1" applyFill="1" applyBorder="1"/>
    <xf numFmtId="43" fontId="0" fillId="7" borderId="1" xfId="1" applyFont="1" applyFill="1" applyBorder="1"/>
    <xf numFmtId="164" fontId="0" fillId="7" borderId="1" xfId="0" applyNumberFormat="1" applyFont="1" applyFill="1" applyBorder="1"/>
    <xf numFmtId="43" fontId="7" fillId="7" borderId="1" xfId="1" applyFont="1" applyFill="1" applyBorder="1"/>
    <xf numFmtId="43" fontId="7" fillId="8" borderId="1" xfId="1" applyFont="1" applyFill="1" applyBorder="1"/>
    <xf numFmtId="0" fontId="13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164" fontId="0" fillId="0" borderId="1" xfId="0" applyNumberFormat="1" applyFont="1" applyFill="1" applyBorder="1"/>
    <xf numFmtId="49" fontId="13" fillId="0" borderId="5" xfId="0" applyNumberFormat="1" applyFont="1" applyBorder="1" applyAlignment="1">
      <alignment horizontal="center" wrapText="1"/>
    </xf>
    <xf numFmtId="0" fontId="0" fillId="0" borderId="6" xfId="0" applyFont="1" applyBorder="1"/>
    <xf numFmtId="0" fontId="7" fillId="0" borderId="5" xfId="0" applyFont="1" applyBorder="1" applyAlignment="1">
      <alignment wrapText="1"/>
    </xf>
    <xf numFmtId="0" fontId="8" fillId="11" borderId="5" xfId="0" applyFont="1" applyFill="1" applyBorder="1" applyAlignment="1">
      <alignment horizontal="left" vertical="center" wrapText="1"/>
    </xf>
    <xf numFmtId="0" fontId="0" fillId="10" borderId="1" xfId="0" applyFont="1" applyFill="1" applyBorder="1"/>
    <xf numFmtId="43" fontId="7" fillId="11" borderId="1" xfId="0" applyNumberFormat="1" applyFont="1" applyFill="1" applyBorder="1"/>
    <xf numFmtId="43" fontId="7" fillId="11" borderId="1" xfId="1" applyFont="1" applyFill="1" applyBorder="1"/>
    <xf numFmtId="43" fontId="7" fillId="11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7" fillId="0" borderId="0" xfId="1" applyFont="1" applyBorder="1"/>
    <xf numFmtId="164" fontId="7" fillId="0" borderId="0" xfId="0" applyNumberFormat="1" applyFont="1" applyBorder="1"/>
    <xf numFmtId="0" fontId="8" fillId="0" borderId="0" xfId="0" applyFont="1" applyBorder="1" applyAlignment="1">
      <alignment horizontal="right"/>
    </xf>
    <xf numFmtId="43" fontId="7" fillId="0" borderId="0" xfId="1" applyFont="1" applyFill="1" applyBorder="1"/>
    <xf numFmtId="43" fontId="7" fillId="0" borderId="0" xfId="1" applyFont="1" applyBorder="1" applyAlignment="1">
      <alignment horizontal="right"/>
    </xf>
    <xf numFmtId="43" fontId="0" fillId="0" borderId="0" xfId="1" applyFont="1" applyFill="1" applyBorder="1"/>
    <xf numFmtId="2" fontId="7" fillId="0" borderId="0" xfId="0" applyNumberFormat="1" applyFont="1" applyBorder="1"/>
    <xf numFmtId="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/>
    <xf numFmtId="4" fontId="7" fillId="0" borderId="0" xfId="0" applyNumberFormat="1" applyFont="1" applyBorder="1" applyAlignment="1"/>
    <xf numFmtId="0" fontId="7" fillId="0" borderId="0" xfId="0" applyFont="1" applyBorder="1"/>
    <xf numFmtId="2" fontId="0" fillId="0" borderId="0" xfId="0" applyNumberFormat="1" applyFont="1" applyBorder="1" applyAlignment="1">
      <alignment horizontal="center"/>
    </xf>
    <xf numFmtId="39" fontId="7" fillId="0" borderId="0" xfId="1" applyNumberFormat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2" fontId="13" fillId="0" borderId="0" xfId="0" applyNumberFormat="1" applyFont="1" applyBorder="1"/>
    <xf numFmtId="2" fontId="7" fillId="0" borderId="0" xfId="0" applyNumberFormat="1" applyFont="1" applyBorder="1" applyAlignment="1"/>
    <xf numFmtId="43" fontId="0" fillId="0" borderId="0" xfId="1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166" fontId="7" fillId="0" borderId="0" xfId="0" applyNumberFormat="1" applyFont="1" applyBorder="1"/>
    <xf numFmtId="2" fontId="7" fillId="0" borderId="0" xfId="0" applyNumberFormat="1" applyFont="1" applyBorder="1" applyAlignment="1">
      <alignment horizontal="left"/>
    </xf>
    <xf numFmtId="9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13" fillId="7" borderId="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 wrapText="1"/>
    </xf>
    <xf numFmtId="0" fontId="0" fillId="0" borderId="0" xfId="0" applyBorder="1"/>
    <xf numFmtId="165" fontId="0" fillId="0" borderId="5" xfId="0" applyNumberFormat="1" applyFont="1" applyFill="1" applyBorder="1" applyAlignment="1">
      <alignment horizontal="right"/>
    </xf>
    <xf numFmtId="43" fontId="0" fillId="6" borderId="5" xfId="1" applyFont="1" applyFill="1" applyBorder="1"/>
    <xf numFmtId="43" fontId="0" fillId="6" borderId="5" xfId="1" applyFont="1" applyFill="1" applyBorder="1" applyAlignment="1">
      <alignment horizontal="center"/>
    </xf>
    <xf numFmtId="43" fontId="0" fillId="6" borderId="1" xfId="1" applyFont="1" applyFill="1" applyBorder="1"/>
    <xf numFmtId="43" fontId="0" fillId="0" borderId="1" xfId="0" applyNumberFormat="1" applyFont="1" applyBorder="1"/>
    <xf numFmtId="167" fontId="0" fillId="0" borderId="1" xfId="0" applyNumberFormat="1" applyFont="1" applyBorder="1" applyAlignment="1">
      <alignment horizontal="center"/>
    </xf>
    <xf numFmtId="164" fontId="0" fillId="4" borderId="2" xfId="0" applyNumberFormat="1" applyFont="1" applyFill="1" applyBorder="1"/>
    <xf numFmtId="4" fontId="7" fillId="9" borderId="1" xfId="0" applyNumberFormat="1" applyFont="1" applyFill="1" applyBorder="1"/>
    <xf numFmtId="4" fontId="7" fillId="4" borderId="1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164" fontId="0" fillId="4" borderId="7" xfId="0" applyNumberFormat="1" applyFont="1" applyFill="1" applyBorder="1"/>
    <xf numFmtId="164" fontId="0" fillId="4" borderId="4" xfId="0" applyNumberFormat="1" applyFont="1" applyFill="1" applyBorder="1"/>
    <xf numFmtId="43" fontId="1" fillId="4" borderId="1" xfId="1" applyFont="1" applyFill="1" applyBorder="1"/>
    <xf numFmtId="2" fontId="0" fillId="4" borderId="1" xfId="0" applyNumberFormat="1" applyFont="1" applyFill="1" applyBorder="1"/>
    <xf numFmtId="43" fontId="1" fillId="0" borderId="5" xfId="1" applyFont="1" applyFill="1" applyBorder="1"/>
    <xf numFmtId="164" fontId="0" fillId="4" borderId="3" xfId="0" applyNumberFormat="1" applyFont="1" applyFill="1" applyBorder="1"/>
    <xf numFmtId="43" fontId="1" fillId="4" borderId="5" xfId="1" applyFont="1" applyFill="1" applyBorder="1"/>
    <xf numFmtId="43" fontId="1" fillId="0" borderId="5" xfId="1" applyFont="1" applyBorder="1"/>
    <xf numFmtId="2" fontId="0" fillId="4" borderId="2" xfId="0" applyNumberFormat="1" applyFont="1" applyFill="1" applyBorder="1"/>
    <xf numFmtId="0" fontId="8" fillId="6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164" fontId="0" fillId="6" borderId="2" xfId="0" applyNumberFormat="1" applyFont="1" applyFill="1" applyBorder="1"/>
    <xf numFmtId="164" fontId="0" fillId="6" borderId="3" xfId="0" applyNumberFormat="1" applyFont="1" applyFill="1" applyBorder="1"/>
    <xf numFmtId="164" fontId="0" fillId="6" borderId="4" xfId="0" applyNumberFormat="1" applyFont="1" applyFill="1" applyBorder="1"/>
    <xf numFmtId="43" fontId="1" fillId="6" borderId="1" xfId="1" applyFont="1" applyFill="1" applyBorder="1"/>
    <xf numFmtId="2" fontId="0" fillId="6" borderId="1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vertical="top" wrapText="1"/>
    </xf>
    <xf numFmtId="0" fontId="0" fillId="6" borderId="1" xfId="0" applyFont="1" applyFill="1" applyBorder="1"/>
    <xf numFmtId="164" fontId="0" fillId="6" borderId="7" xfId="0" applyNumberFormat="1" applyFont="1" applyFill="1" applyBorder="1"/>
    <xf numFmtId="2" fontId="0" fillId="6" borderId="5" xfId="0" applyNumberFormat="1" applyFont="1" applyFill="1" applyBorder="1"/>
    <xf numFmtId="0" fontId="0" fillId="6" borderId="1" xfId="0" applyFill="1" applyBorder="1" applyAlignment="1">
      <alignment vertical="top" wrapText="1"/>
    </xf>
    <xf numFmtId="0" fontId="0" fillId="6" borderId="2" xfId="0" applyFont="1" applyFill="1" applyBorder="1"/>
    <xf numFmtId="0" fontId="13" fillId="6" borderId="1" xfId="0" applyFont="1" applyFill="1" applyBorder="1" applyAlignment="1">
      <alignment horizontal="left" wrapText="1"/>
    </xf>
    <xf numFmtId="164" fontId="0" fillId="6" borderId="8" xfId="0" applyNumberFormat="1" applyFont="1" applyFill="1" applyBorder="1"/>
    <xf numFmtId="0" fontId="7" fillId="6" borderId="1" xfId="0" applyFont="1" applyFill="1" applyBorder="1" applyAlignment="1">
      <alignment horizontal="center" wrapText="1"/>
    </xf>
    <xf numFmtId="49" fontId="13" fillId="6" borderId="1" xfId="0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2" fontId="0" fillId="6" borderId="5" xfId="0" applyNumberFormat="1" applyFont="1" applyFill="1" applyBorder="1" applyAlignment="1">
      <alignment wrapText="1"/>
    </xf>
    <xf numFmtId="164" fontId="0" fillId="6" borderId="1" xfId="0" applyNumberFormat="1" applyFont="1" applyFill="1" applyBorder="1"/>
    <xf numFmtId="164" fontId="0" fillId="6" borderId="5" xfId="0" applyNumberFormat="1" applyFont="1" applyFill="1" applyBorder="1"/>
    <xf numFmtId="0" fontId="0" fillId="6" borderId="5" xfId="0" applyFont="1" applyFill="1" applyBorder="1"/>
    <xf numFmtId="0" fontId="13" fillId="6" borderId="1" xfId="1" applyNumberFormat="1" applyFont="1" applyFill="1" applyBorder="1" applyAlignment="1">
      <alignment horizontal="center" wrapText="1"/>
    </xf>
    <xf numFmtId="49" fontId="13" fillId="6" borderId="1" xfId="0" applyNumberFormat="1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left" wrapText="1"/>
    </xf>
    <xf numFmtId="0" fontId="8" fillId="6" borderId="6" xfId="0" applyFont="1" applyFill="1" applyBorder="1" applyAlignment="1"/>
    <xf numFmtId="0" fontId="0" fillId="6" borderId="7" xfId="0" applyFont="1" applyFill="1" applyBorder="1" applyAlignment="1"/>
    <xf numFmtId="164" fontId="0" fillId="6" borderId="1" xfId="0" applyNumberFormat="1" applyFont="1" applyFill="1" applyBorder="1" applyAlignment="1"/>
    <xf numFmtId="164" fontId="0" fillId="6" borderId="7" xfId="0" applyNumberFormat="1" applyFont="1" applyFill="1" applyBorder="1" applyAlignment="1"/>
    <xf numFmtId="164" fontId="0" fillId="6" borderId="4" xfId="0" applyNumberFormat="1" applyFont="1" applyFill="1" applyBorder="1" applyAlignment="1"/>
    <xf numFmtId="43" fontId="7" fillId="6" borderId="1" xfId="1" applyFont="1" applyFill="1" applyBorder="1" applyAlignment="1"/>
    <xf numFmtId="2" fontId="7" fillId="6" borderId="1" xfId="0" applyNumberFormat="1" applyFont="1" applyFill="1" applyBorder="1" applyAlignment="1"/>
    <xf numFmtId="0" fontId="0" fillId="6" borderId="1" xfId="0" applyFont="1" applyFill="1" applyBorder="1" applyAlignment="1">
      <alignment horizontal="center" wrapText="1"/>
    </xf>
    <xf numFmtId="43" fontId="1" fillId="6" borderId="5" xfId="1" applyFont="1" applyFill="1" applyBorder="1"/>
    <xf numFmtId="4" fontId="0" fillId="0" borderId="1" xfId="0" applyNumberFormat="1" applyFont="1" applyFill="1" applyBorder="1" applyAlignment="1"/>
    <xf numFmtId="4" fontId="0" fillId="0" borderId="1" xfId="0" applyNumberFormat="1" applyFont="1" applyBorder="1" applyAlignment="1"/>
    <xf numFmtId="4" fontId="7" fillId="9" borderId="6" xfId="0" applyNumberFormat="1" applyFont="1" applyFill="1" applyBorder="1" applyAlignment="1"/>
    <xf numFmtId="4" fontId="0" fillId="0" borderId="6" xfId="0" applyNumberFormat="1" applyFont="1" applyBorder="1" applyAlignment="1"/>
    <xf numFmtId="43" fontId="1" fillId="4" borderId="1" xfId="1" applyFont="1" applyFill="1" applyBorder="1" applyAlignment="1"/>
    <xf numFmtId="4" fontId="0" fillId="6" borderId="1" xfId="0" applyNumberFormat="1" applyFont="1" applyFill="1" applyBorder="1" applyAlignment="1"/>
    <xf numFmtId="2" fontId="7" fillId="0" borderId="5" xfId="0" applyNumberFormat="1" applyFont="1" applyFill="1" applyBorder="1" applyAlignment="1"/>
    <xf numFmtId="43" fontId="0" fillId="0" borderId="5" xfId="1" applyFont="1" applyFill="1" applyBorder="1" applyAlignment="1"/>
    <xf numFmtId="4" fontId="0" fillId="12" borderId="1" xfId="0" applyNumberFormat="1" applyFont="1" applyFill="1" applyBorder="1" applyAlignment="1"/>
    <xf numFmtId="43" fontId="7" fillId="7" borderId="1" xfId="1" applyFont="1" applyFill="1" applyBorder="1" applyAlignment="1"/>
    <xf numFmtId="43" fontId="0" fillId="7" borderId="1" xfId="1" applyFont="1" applyFill="1" applyBorder="1" applyAlignment="1"/>
    <xf numFmtId="43" fontId="7" fillId="11" borderId="1" xfId="0" applyNumberFormat="1" applyFont="1" applyFill="1" applyBorder="1" applyAlignment="1"/>
    <xf numFmtId="4" fontId="0" fillId="4" borderId="1" xfId="0" applyNumberFormat="1" applyFont="1" applyFill="1" applyBorder="1" applyAlignment="1"/>
    <xf numFmtId="0" fontId="0" fillId="6" borderId="1" xfId="0" applyFont="1" applyFill="1" applyBorder="1" applyAlignment="1"/>
    <xf numFmtId="0" fontId="1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zoomScaleSheetLayoutView="100" workbookViewId="0">
      <pane xSplit="10" ySplit="6" topLeftCell="K154" activePane="bottomRight" state="frozen"/>
      <selection activeCell="AB6" sqref="AB6"/>
      <selection pane="topRight" activeCell="AB6" sqref="AB6"/>
      <selection pane="bottomLeft" activeCell="AB6" sqref="AB6"/>
      <selection pane="bottomRight" activeCell="AB7" sqref="AB7"/>
    </sheetView>
  </sheetViews>
  <sheetFormatPr defaultColWidth="9.109375" defaultRowHeight="11.4"/>
  <cols>
    <col min="1" max="1" width="8" style="3" hidden="1" customWidth="1"/>
    <col min="2" max="2" width="10.44140625" style="3" customWidth="1"/>
    <col min="3" max="3" width="7.33203125" style="3" customWidth="1"/>
    <col min="4" max="4" width="8.6640625" style="3" customWidth="1"/>
    <col min="5" max="5" width="42.33203125" style="3" customWidth="1"/>
    <col min="6" max="7" width="10.44140625" style="3" hidden="1" customWidth="1"/>
    <col min="8" max="8" width="10.109375" style="3" hidden="1" customWidth="1"/>
    <col min="9" max="9" width="9.5546875" style="3" hidden="1" customWidth="1"/>
    <col min="10" max="10" width="0.109375" style="3" customWidth="1"/>
    <col min="11" max="11" width="17" style="3" customWidth="1"/>
    <col min="12" max="12" width="13.6640625" style="3" hidden="1" customWidth="1"/>
    <col min="13" max="13" width="16.33203125" style="4" customWidth="1"/>
    <col min="14" max="14" width="16.6640625" style="4" customWidth="1"/>
    <col min="15" max="15" width="13.33203125" style="4" customWidth="1"/>
    <col min="16" max="16" width="16.109375" style="3" customWidth="1"/>
    <col min="17" max="17" width="13.44140625" style="3" hidden="1" customWidth="1"/>
    <col min="18" max="18" width="15.5546875" style="3" hidden="1" customWidth="1"/>
    <col min="19" max="20" width="14.6640625" style="3" hidden="1" customWidth="1"/>
    <col min="21" max="21" width="15.109375" style="3" hidden="1" customWidth="1"/>
    <col min="22" max="22" width="15.33203125" style="3" hidden="1" customWidth="1"/>
    <col min="23" max="23" width="14.109375" style="3" hidden="1" customWidth="1"/>
    <col min="24" max="24" width="14.6640625" style="3" hidden="1" customWidth="1"/>
    <col min="25" max="25" width="15.33203125" style="3" hidden="1" customWidth="1"/>
    <col min="26" max="26" width="14.6640625" style="3" hidden="1" customWidth="1"/>
    <col min="27" max="27" width="15" style="3" hidden="1" customWidth="1"/>
    <col min="28" max="28" width="16.33203125" style="3" customWidth="1"/>
    <col min="29" max="29" width="11.88671875" style="3" customWidth="1"/>
    <col min="30" max="30" width="0.109375" style="3" customWidth="1"/>
    <col min="31" max="31" width="13" style="3" customWidth="1"/>
    <col min="32" max="32" width="10.109375" style="3" bestFit="1" customWidth="1"/>
    <col min="33" max="16384" width="9.109375" style="3"/>
  </cols>
  <sheetData>
    <row r="1" spans="1:28" s="1" customFormat="1" ht="17.25" customHeight="1">
      <c r="B1" s="468" t="s">
        <v>0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</row>
    <row r="2" spans="1:28" s="1" customFormat="1" ht="15" customHeight="1">
      <c r="B2" s="469" t="s">
        <v>288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</row>
    <row r="3" spans="1:28" s="1" customFormat="1" ht="13.2" customHeight="1">
      <c r="E3" s="166"/>
      <c r="M3" s="2"/>
      <c r="N3" s="2"/>
      <c r="O3" s="2"/>
      <c r="S3" s="1" t="s">
        <v>267</v>
      </c>
    </row>
    <row r="4" spans="1:28" ht="43.95" customHeight="1">
      <c r="A4" s="470" t="s">
        <v>142</v>
      </c>
      <c r="B4" s="470" t="s">
        <v>210</v>
      </c>
      <c r="C4" s="470" t="s">
        <v>215</v>
      </c>
      <c r="D4" s="470" t="s">
        <v>263</v>
      </c>
      <c r="E4" s="472" t="s">
        <v>1</v>
      </c>
      <c r="F4" s="473" t="s">
        <v>36</v>
      </c>
      <c r="G4" s="473" t="s">
        <v>37</v>
      </c>
      <c r="H4" s="192"/>
      <c r="I4" s="474" t="s">
        <v>33</v>
      </c>
      <c r="J4" s="470" t="s">
        <v>31</v>
      </c>
      <c r="K4" s="485" t="s">
        <v>289</v>
      </c>
      <c r="L4" s="470" t="s">
        <v>275</v>
      </c>
      <c r="M4" s="486" t="s">
        <v>317</v>
      </c>
      <c r="N4" s="488" t="s">
        <v>68</v>
      </c>
      <c r="O4" s="489" t="s">
        <v>319</v>
      </c>
      <c r="P4" s="476" t="s">
        <v>87</v>
      </c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8"/>
      <c r="AB4" s="479" t="s">
        <v>318</v>
      </c>
    </row>
    <row r="5" spans="1:28" ht="21.6" customHeight="1">
      <c r="A5" s="471"/>
      <c r="B5" s="471"/>
      <c r="C5" s="471"/>
      <c r="D5" s="471"/>
      <c r="E5" s="472"/>
      <c r="F5" s="473"/>
      <c r="G5" s="473"/>
      <c r="H5" s="193" t="s">
        <v>35</v>
      </c>
      <c r="I5" s="475"/>
      <c r="J5" s="471"/>
      <c r="K5" s="472"/>
      <c r="L5" s="471"/>
      <c r="M5" s="487"/>
      <c r="N5" s="487"/>
      <c r="O5" s="489"/>
      <c r="P5" s="193" t="s">
        <v>50</v>
      </c>
      <c r="Q5" s="193" t="s">
        <v>51</v>
      </c>
      <c r="R5" s="193" t="s">
        <v>52</v>
      </c>
      <c r="S5" s="193" t="s">
        <v>48</v>
      </c>
      <c r="T5" s="193" t="s">
        <v>54</v>
      </c>
      <c r="U5" s="193" t="s">
        <v>58</v>
      </c>
      <c r="V5" s="193" t="s">
        <v>60</v>
      </c>
      <c r="W5" s="193" t="s">
        <v>61</v>
      </c>
      <c r="X5" s="193" t="s">
        <v>62</v>
      </c>
      <c r="Y5" s="193" t="s">
        <v>65</v>
      </c>
      <c r="Z5" s="193" t="s">
        <v>66</v>
      </c>
      <c r="AA5" s="193" t="s">
        <v>67</v>
      </c>
      <c r="AB5" s="480"/>
    </row>
    <row r="6" spans="1:28" s="194" customFormat="1" ht="13.2" customHeight="1">
      <c r="A6" s="12">
        <v>1</v>
      </c>
      <c r="B6" s="193">
        <v>1</v>
      </c>
      <c r="C6" s="193">
        <v>2</v>
      </c>
      <c r="D6" s="193">
        <v>3</v>
      </c>
      <c r="E6" s="193">
        <v>4</v>
      </c>
      <c r="F6" s="12">
        <v>3</v>
      </c>
      <c r="G6" s="12"/>
      <c r="H6" s="12"/>
      <c r="I6" s="13"/>
      <c r="J6" s="14">
        <v>8</v>
      </c>
      <c r="K6" s="15">
        <v>5</v>
      </c>
      <c r="L6" s="15">
        <v>6</v>
      </c>
      <c r="M6" s="16">
        <v>6</v>
      </c>
      <c r="N6" s="16">
        <v>7</v>
      </c>
      <c r="O6" s="16">
        <v>8</v>
      </c>
      <c r="P6" s="11">
        <v>9</v>
      </c>
      <c r="Q6" s="11">
        <v>9</v>
      </c>
      <c r="R6" s="11">
        <v>9</v>
      </c>
      <c r="S6" s="11">
        <v>10</v>
      </c>
      <c r="T6" s="11">
        <v>10</v>
      </c>
      <c r="U6" s="11">
        <v>10</v>
      </c>
      <c r="V6" s="11">
        <v>9</v>
      </c>
      <c r="W6" s="11">
        <v>9</v>
      </c>
      <c r="X6" s="11">
        <v>9</v>
      </c>
      <c r="Y6" s="11">
        <v>9</v>
      </c>
      <c r="Z6" s="11">
        <v>10</v>
      </c>
      <c r="AA6" s="11">
        <v>11</v>
      </c>
      <c r="AB6" s="11">
        <v>10</v>
      </c>
    </row>
    <row r="7" spans="1:28" s="194" customFormat="1" ht="30" customHeight="1">
      <c r="A7" s="12"/>
      <c r="B7" s="140"/>
      <c r="C7" s="140"/>
      <c r="D7" s="17">
        <v>210</v>
      </c>
      <c r="E7" s="18" t="s">
        <v>141</v>
      </c>
      <c r="F7" s="19">
        <f>SUM(F8:F11)</f>
        <v>16238</v>
      </c>
      <c r="G7" s="19">
        <f>SUM(G8:G11)</f>
        <v>16086</v>
      </c>
      <c r="H7" s="19">
        <f>SUM(H8:H11)</f>
        <v>14538.3</v>
      </c>
      <c r="I7" s="20"/>
      <c r="J7" s="21">
        <f t="shared" ref="J7:L7" si="0">SUM(J8:J11)</f>
        <v>18528.036799999998</v>
      </c>
      <c r="K7" s="136">
        <f>SUM(K8:K11)</f>
        <v>34167700</v>
      </c>
      <c r="L7" s="135">
        <f t="shared" si="0"/>
        <v>0</v>
      </c>
      <c r="M7" s="136">
        <f>SUM(M8:M11)</f>
        <v>1035672.19</v>
      </c>
      <c r="N7" s="136">
        <f>SUM(N8:N11)</f>
        <v>33132027.810000002</v>
      </c>
      <c r="O7" s="136">
        <f>SUM(O8:O11)</f>
        <v>40047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8" customHeight="1">
      <c r="A8" s="79"/>
      <c r="B8" s="195"/>
      <c r="C8" s="141">
        <v>111</v>
      </c>
      <c r="D8" s="23">
        <v>211</v>
      </c>
      <c r="E8" s="24" t="s">
        <v>14</v>
      </c>
      <c r="F8" s="25">
        <v>12772</v>
      </c>
      <c r="G8" s="25">
        <v>12739</v>
      </c>
      <c r="H8" s="25">
        <v>11572.8</v>
      </c>
      <c r="I8" s="26"/>
      <c r="J8" s="27">
        <v>14586.4</v>
      </c>
      <c r="K8" s="100">
        <v>25340800</v>
      </c>
      <c r="L8" s="28"/>
      <c r="M8" s="30">
        <v>469518</v>
      </c>
      <c r="N8" s="31">
        <f>(K8-M8)</f>
        <v>24871282</v>
      </c>
      <c r="O8" s="32"/>
      <c r="P8" s="3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0.399999999999999" hidden="1" customHeight="1">
      <c r="A9" s="79"/>
      <c r="B9" s="141"/>
      <c r="C9" s="141"/>
      <c r="D9" s="23">
        <v>211</v>
      </c>
      <c r="E9" s="24" t="s">
        <v>47</v>
      </c>
      <c r="F9" s="25"/>
      <c r="G9" s="25"/>
      <c r="H9" s="25"/>
      <c r="I9" s="26"/>
      <c r="J9" s="27"/>
      <c r="K9" s="100"/>
      <c r="L9" s="28"/>
      <c r="M9" s="30"/>
      <c r="N9" s="29"/>
      <c r="O9" s="32"/>
      <c r="P9" s="2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39" customHeight="1">
      <c r="A10" s="117"/>
      <c r="B10" s="140"/>
      <c r="C10" s="140">
        <v>112</v>
      </c>
      <c r="D10" s="23">
        <v>212</v>
      </c>
      <c r="E10" s="24" t="s">
        <v>290</v>
      </c>
      <c r="F10" s="34">
        <v>120</v>
      </c>
      <c r="G10" s="34">
        <v>101</v>
      </c>
      <c r="H10" s="34">
        <v>101</v>
      </c>
      <c r="I10" s="35"/>
      <c r="J10" s="27">
        <f>F10*1</f>
        <v>120</v>
      </c>
      <c r="K10" s="100">
        <v>1174000</v>
      </c>
      <c r="L10" s="28"/>
      <c r="M10" s="32"/>
      <c r="N10" s="31">
        <f>(K10-M10)</f>
        <v>1174000</v>
      </c>
      <c r="O10" s="36">
        <v>40047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7.399999999999999" customHeight="1">
      <c r="A11" s="22"/>
      <c r="B11" s="23"/>
      <c r="C11" s="23">
        <v>119</v>
      </c>
      <c r="D11" s="37">
        <v>213</v>
      </c>
      <c r="E11" s="38" t="s">
        <v>112</v>
      </c>
      <c r="F11" s="39">
        <v>3346</v>
      </c>
      <c r="G11" s="39">
        <v>3246</v>
      </c>
      <c r="H11" s="39">
        <v>2864.5</v>
      </c>
      <c r="I11" s="26"/>
      <c r="J11" s="40">
        <f>J8*26.2/100</f>
        <v>3821.6367999999998</v>
      </c>
      <c r="K11" s="100">
        <v>7652900</v>
      </c>
      <c r="L11" s="41"/>
      <c r="M11" s="30">
        <v>566154.18999999994</v>
      </c>
      <c r="N11" s="31">
        <f>(K11-M11)</f>
        <v>7086745.8100000005</v>
      </c>
      <c r="O11" s="3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7.399999999999999" customHeight="1">
      <c r="A12" s="22"/>
      <c r="B12" s="23"/>
      <c r="C12" s="23"/>
      <c r="D12" s="42">
        <v>220</v>
      </c>
      <c r="E12" s="43" t="s">
        <v>15</v>
      </c>
      <c r="F12" s="44">
        <f>F13+F22+F29+F33+F36+F67</f>
        <v>2406.8000000000002</v>
      </c>
      <c r="G12" s="44">
        <f>G13+G22+G29+G33+G36+G67</f>
        <v>2196.3000000000002</v>
      </c>
      <c r="H12" s="44">
        <f>H13+H22+H29+H33+H36+H67</f>
        <v>1809.5700000000002</v>
      </c>
      <c r="I12" s="45"/>
      <c r="J12" s="46">
        <f t="shared" ref="J12:O12" si="1">J13+J22+J29+J33+J36+J67</f>
        <v>2513.4</v>
      </c>
      <c r="K12" s="132">
        <f t="shared" si="1"/>
        <v>7998400</v>
      </c>
      <c r="L12" s="174">
        <f t="shared" si="1"/>
        <v>0</v>
      </c>
      <c r="M12" s="134">
        <f t="shared" si="1"/>
        <v>114890.49</v>
      </c>
      <c r="N12" s="129">
        <f t="shared" si="1"/>
        <v>7806409.5099999998</v>
      </c>
      <c r="O12" s="134">
        <f t="shared" si="1"/>
        <v>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9.2" customHeight="1">
      <c r="A13" s="22"/>
      <c r="B13" s="23"/>
      <c r="C13" s="23">
        <v>244</v>
      </c>
      <c r="D13" s="47">
        <v>221</v>
      </c>
      <c r="E13" s="48" t="s">
        <v>4</v>
      </c>
      <c r="F13" s="49">
        <f>F14+F15+F16</f>
        <v>587</v>
      </c>
      <c r="G13" s="49">
        <f>G14+G15+G16</f>
        <v>552</v>
      </c>
      <c r="H13" s="49">
        <f>H14+H15+H16</f>
        <v>424.7</v>
      </c>
      <c r="I13" s="50"/>
      <c r="J13" s="51">
        <f>J14+J15+J16</f>
        <v>587</v>
      </c>
      <c r="K13" s="54">
        <f>SUM(K14:K21)</f>
        <v>628000</v>
      </c>
      <c r="L13" s="52">
        <f>SUM(L14:L20)</f>
        <v>0</v>
      </c>
      <c r="M13" s="53">
        <f>SUM(M14:M21)</f>
        <v>3569.33</v>
      </c>
      <c r="N13" s="54">
        <f>SUM(N14:N21)</f>
        <v>624430.66999999993</v>
      </c>
      <c r="O13" s="54">
        <f>SUM(O14:O21)</f>
        <v>0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9.4" customHeight="1">
      <c r="A14" s="22">
        <v>1</v>
      </c>
      <c r="B14" s="55" t="s">
        <v>218</v>
      </c>
      <c r="C14" s="37">
        <v>244</v>
      </c>
      <c r="D14" s="55"/>
      <c r="E14" s="5" t="s">
        <v>44</v>
      </c>
      <c r="F14" s="22">
        <v>4.5999999999999996</v>
      </c>
      <c r="G14" s="22">
        <v>4.5</v>
      </c>
      <c r="H14" s="22">
        <v>2.4</v>
      </c>
      <c r="I14" s="35"/>
      <c r="J14" s="27">
        <f>F14*1</f>
        <v>4.5999999999999996</v>
      </c>
      <c r="K14" s="100">
        <v>81000</v>
      </c>
      <c r="L14" s="28"/>
      <c r="M14" s="32"/>
      <c r="N14" s="56">
        <f t="shared" ref="N14:N21" si="2">(K14-M14)</f>
        <v>81000</v>
      </c>
      <c r="O14" s="3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7.25" customHeight="1">
      <c r="A15" s="22">
        <v>2</v>
      </c>
      <c r="B15" s="145" t="s">
        <v>219</v>
      </c>
      <c r="C15" s="145">
        <v>244</v>
      </c>
      <c r="D15" s="145"/>
      <c r="E15" s="5" t="s">
        <v>74</v>
      </c>
      <c r="F15" s="22">
        <v>1.4</v>
      </c>
      <c r="G15" s="22">
        <v>1.5</v>
      </c>
      <c r="H15" s="22">
        <v>1.5</v>
      </c>
      <c r="I15" s="35"/>
      <c r="J15" s="27">
        <f>F15*1</f>
        <v>1.4</v>
      </c>
      <c r="K15" s="100">
        <v>2000</v>
      </c>
      <c r="L15" s="57"/>
      <c r="M15" s="32"/>
      <c r="N15" s="56">
        <f t="shared" si="2"/>
        <v>2000</v>
      </c>
      <c r="O15" s="3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33" customHeight="1">
      <c r="A16" s="22">
        <v>3</v>
      </c>
      <c r="B16" s="55" t="s">
        <v>220</v>
      </c>
      <c r="C16" s="55">
        <v>244</v>
      </c>
      <c r="D16" s="55"/>
      <c r="E16" s="5" t="s">
        <v>89</v>
      </c>
      <c r="F16" s="34">
        <v>581</v>
      </c>
      <c r="G16" s="34">
        <v>546</v>
      </c>
      <c r="H16" s="34">
        <v>420.8</v>
      </c>
      <c r="I16" s="35"/>
      <c r="J16" s="27">
        <f>F16*1</f>
        <v>581</v>
      </c>
      <c r="K16" s="100">
        <v>300000</v>
      </c>
      <c r="L16" s="57"/>
      <c r="M16" s="32">
        <v>3569.33</v>
      </c>
      <c r="N16" s="58">
        <f t="shared" si="2"/>
        <v>296430.67</v>
      </c>
      <c r="O16" s="3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4" customHeight="1">
      <c r="A17" s="22">
        <v>4</v>
      </c>
      <c r="B17" s="55" t="s">
        <v>143</v>
      </c>
      <c r="C17" s="55">
        <v>244</v>
      </c>
      <c r="D17" s="55"/>
      <c r="E17" s="5" t="s">
        <v>90</v>
      </c>
      <c r="F17" s="60"/>
      <c r="G17" s="60"/>
      <c r="H17" s="60"/>
      <c r="I17" s="61"/>
      <c r="J17" s="27"/>
      <c r="K17" s="100">
        <v>1000</v>
      </c>
      <c r="L17" s="57"/>
      <c r="M17" s="36"/>
      <c r="N17" s="58">
        <f t="shared" si="2"/>
        <v>1000</v>
      </c>
      <c r="O17" s="3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5.5" customHeight="1">
      <c r="A18" s="22">
        <v>5</v>
      </c>
      <c r="B18" s="55" t="s">
        <v>144</v>
      </c>
      <c r="C18" s="138">
        <v>244</v>
      </c>
      <c r="D18" s="138"/>
      <c r="E18" s="59" t="s">
        <v>233</v>
      </c>
      <c r="F18" s="60"/>
      <c r="G18" s="60"/>
      <c r="H18" s="60"/>
      <c r="I18" s="61"/>
      <c r="J18" s="27"/>
      <c r="K18" s="100">
        <v>160000</v>
      </c>
      <c r="L18" s="57"/>
      <c r="M18" s="36"/>
      <c r="N18" s="31">
        <f t="shared" si="2"/>
        <v>160000</v>
      </c>
      <c r="O18" s="36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0.199999999999999" hidden="1" customHeight="1">
      <c r="A19" s="22">
        <v>5</v>
      </c>
      <c r="B19" s="55" t="s">
        <v>144</v>
      </c>
      <c r="C19" s="55">
        <v>244</v>
      </c>
      <c r="D19" s="55"/>
      <c r="E19" s="62" t="s">
        <v>46</v>
      </c>
      <c r="F19" s="60"/>
      <c r="G19" s="60"/>
      <c r="H19" s="60"/>
      <c r="I19" s="61"/>
      <c r="J19" s="27"/>
      <c r="K19" s="100">
        <v>0</v>
      </c>
      <c r="L19" s="57"/>
      <c r="M19" s="36"/>
      <c r="N19" s="31">
        <f t="shared" si="2"/>
        <v>0</v>
      </c>
      <c r="O19" s="3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19.95" customHeight="1">
      <c r="A20" s="22">
        <v>6</v>
      </c>
      <c r="B20" s="55" t="s">
        <v>145</v>
      </c>
      <c r="C20" s="55">
        <v>244</v>
      </c>
      <c r="D20" s="55"/>
      <c r="E20" s="5" t="s">
        <v>40</v>
      </c>
      <c r="F20" s="60"/>
      <c r="G20" s="60"/>
      <c r="H20" s="60"/>
      <c r="I20" s="61"/>
      <c r="J20" s="27"/>
      <c r="K20" s="100">
        <v>84000</v>
      </c>
      <c r="L20" s="57"/>
      <c r="M20" s="36"/>
      <c r="N20" s="56">
        <f t="shared" si="2"/>
        <v>84000</v>
      </c>
      <c r="O20" s="36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12" hidden="1" customHeight="1">
      <c r="A21" s="22">
        <v>185</v>
      </c>
      <c r="B21" s="55">
        <v>6420090</v>
      </c>
      <c r="C21" s="55"/>
      <c r="D21" s="55"/>
      <c r="E21" s="5" t="s">
        <v>53</v>
      </c>
      <c r="F21" s="60"/>
      <c r="G21" s="60"/>
      <c r="H21" s="60"/>
      <c r="I21" s="61"/>
      <c r="J21" s="27"/>
      <c r="K21" s="28"/>
      <c r="L21" s="57"/>
      <c r="M21" s="36"/>
      <c r="N21" s="31">
        <f t="shared" si="2"/>
        <v>0</v>
      </c>
      <c r="O21" s="3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ht="22.2" customHeight="1">
      <c r="A22" s="22"/>
      <c r="B22" s="47"/>
      <c r="C22" s="47"/>
      <c r="D22" s="47">
        <v>222</v>
      </c>
      <c r="E22" s="63" t="s">
        <v>3</v>
      </c>
      <c r="F22" s="64">
        <f>SUM(F23:F28)</f>
        <v>310</v>
      </c>
      <c r="G22" s="64">
        <f>SUM(G23:G28)</f>
        <v>310</v>
      </c>
      <c r="H22" s="64">
        <f>SUM(H23:H28)</f>
        <v>271.3</v>
      </c>
      <c r="I22" s="65"/>
      <c r="J22" s="51">
        <f t="shared" ref="J22:O22" si="3">SUM(J23:J28)</f>
        <v>310</v>
      </c>
      <c r="K22" s="137">
        <f t="shared" si="3"/>
        <v>3400</v>
      </c>
      <c r="L22" s="52">
        <f t="shared" si="3"/>
        <v>0</v>
      </c>
      <c r="M22" s="53">
        <f t="shared" si="3"/>
        <v>0</v>
      </c>
      <c r="N22" s="54">
        <f>SUM(N23:N28)</f>
        <v>3400</v>
      </c>
      <c r="O22" s="53">
        <f t="shared" si="3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25.95" hidden="1" customHeight="1">
      <c r="A23" s="22">
        <v>7</v>
      </c>
      <c r="B23" s="55" t="s">
        <v>146</v>
      </c>
      <c r="C23" s="55"/>
      <c r="D23" s="55"/>
      <c r="E23" s="5" t="s">
        <v>41</v>
      </c>
      <c r="F23" s="22"/>
      <c r="G23" s="22"/>
      <c r="H23" s="22"/>
      <c r="I23" s="35"/>
      <c r="J23" s="27">
        <f>F23*1</f>
        <v>0</v>
      </c>
      <c r="K23" s="28">
        <f>1200-1200</f>
        <v>0</v>
      </c>
      <c r="L23" s="57"/>
      <c r="M23" s="32"/>
      <c r="N23" s="31">
        <f t="shared" ref="N23:N28" si="4">(K23-M23)</f>
        <v>0</v>
      </c>
      <c r="O23" s="3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9.95" hidden="1" customHeight="1">
      <c r="A24" s="22">
        <v>8</v>
      </c>
      <c r="B24" s="55" t="s">
        <v>147</v>
      </c>
      <c r="C24" s="55"/>
      <c r="D24" s="55"/>
      <c r="E24" s="5" t="s">
        <v>111</v>
      </c>
      <c r="F24" s="22"/>
      <c r="G24" s="22"/>
      <c r="H24" s="22"/>
      <c r="I24" s="35"/>
      <c r="J24" s="27"/>
      <c r="K24" s="100">
        <v>0</v>
      </c>
      <c r="L24" s="57"/>
      <c r="M24" s="32"/>
      <c r="N24" s="31">
        <f t="shared" si="4"/>
        <v>0</v>
      </c>
      <c r="O24" s="36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9.95" hidden="1" customHeight="1">
      <c r="A25" s="22">
        <v>9</v>
      </c>
      <c r="B25" s="55" t="s">
        <v>148</v>
      </c>
      <c r="C25" s="55"/>
      <c r="D25" s="55"/>
      <c r="E25" s="5" t="s">
        <v>129</v>
      </c>
      <c r="F25" s="22"/>
      <c r="G25" s="22"/>
      <c r="H25" s="22"/>
      <c r="I25" s="35"/>
      <c r="J25" s="27"/>
      <c r="K25" s="100">
        <v>0</v>
      </c>
      <c r="L25" s="57"/>
      <c r="M25" s="32"/>
      <c r="N25" s="31">
        <f t="shared" si="4"/>
        <v>0</v>
      </c>
      <c r="O25" s="36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9.95" customHeight="1">
      <c r="A26" s="22">
        <v>10</v>
      </c>
      <c r="B26" s="55" t="s">
        <v>149</v>
      </c>
      <c r="C26" s="55">
        <v>244</v>
      </c>
      <c r="D26" s="55"/>
      <c r="E26" s="5" t="s">
        <v>136</v>
      </c>
      <c r="F26" s="22"/>
      <c r="G26" s="22"/>
      <c r="H26" s="22"/>
      <c r="I26" s="35"/>
      <c r="J26" s="27"/>
      <c r="K26" s="100">
        <v>200</v>
      </c>
      <c r="L26" s="57"/>
      <c r="M26" s="32"/>
      <c r="N26" s="31">
        <f t="shared" si="4"/>
        <v>200</v>
      </c>
      <c r="O26" s="36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21.6" customHeight="1">
      <c r="A27" s="22">
        <v>11</v>
      </c>
      <c r="B27" s="55" t="s">
        <v>150</v>
      </c>
      <c r="C27" s="55">
        <v>244</v>
      </c>
      <c r="D27" s="55"/>
      <c r="E27" s="5" t="s">
        <v>138</v>
      </c>
      <c r="F27" s="34">
        <v>300</v>
      </c>
      <c r="G27" s="34">
        <v>297</v>
      </c>
      <c r="H27" s="34">
        <v>259.7</v>
      </c>
      <c r="I27" s="35"/>
      <c r="J27" s="27">
        <f>F27*1</f>
        <v>300</v>
      </c>
      <c r="K27" s="100">
        <v>3200</v>
      </c>
      <c r="L27" s="57"/>
      <c r="M27" s="32"/>
      <c r="N27" s="31">
        <f t="shared" si="4"/>
        <v>3200</v>
      </c>
      <c r="O27" s="3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8.95" hidden="1" customHeight="1">
      <c r="A28" s="22">
        <v>180</v>
      </c>
      <c r="B28" s="55">
        <v>6011000</v>
      </c>
      <c r="C28" s="55"/>
      <c r="D28" s="55"/>
      <c r="E28" s="5" t="s">
        <v>30</v>
      </c>
      <c r="F28" s="22">
        <v>10</v>
      </c>
      <c r="G28" s="22">
        <v>13</v>
      </c>
      <c r="H28" s="22">
        <v>11.6</v>
      </c>
      <c r="I28" s="35"/>
      <c r="J28" s="27">
        <f>F28*1</f>
        <v>10</v>
      </c>
      <c r="K28" s="100">
        <f>15000-15000</f>
        <v>0</v>
      </c>
      <c r="L28" s="57"/>
      <c r="M28" s="32"/>
      <c r="N28" s="31">
        <f t="shared" si="4"/>
        <v>0</v>
      </c>
      <c r="O28" s="36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9.95" customHeight="1">
      <c r="A29" s="22"/>
      <c r="B29" s="47"/>
      <c r="C29" s="47"/>
      <c r="D29" s="47">
        <v>223</v>
      </c>
      <c r="E29" s="63" t="s">
        <v>16</v>
      </c>
      <c r="F29" s="64">
        <f>SUM(F30:F32)</f>
        <v>547</v>
      </c>
      <c r="G29" s="64">
        <f>SUM(G30:G32)</f>
        <v>419</v>
      </c>
      <c r="H29" s="64">
        <f>SUM(H30:H32)</f>
        <v>356.9</v>
      </c>
      <c r="I29" s="65"/>
      <c r="J29" s="51">
        <f t="shared" ref="J29:L29" si="5">SUM(J30:J32)</f>
        <v>588.4</v>
      </c>
      <c r="K29" s="54">
        <f t="shared" si="5"/>
        <v>1104700</v>
      </c>
      <c r="L29" s="52">
        <f t="shared" si="5"/>
        <v>0</v>
      </c>
      <c r="M29" s="53">
        <f>SUM(M30:M32)</f>
        <v>42200.710000000006</v>
      </c>
      <c r="N29" s="54">
        <f>SUM(N30:N32)</f>
        <v>1062499.29</v>
      </c>
      <c r="O29" s="53">
        <f>SUM(O30:O32)</f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20.399999999999999" customHeight="1">
      <c r="A30" s="22">
        <v>12</v>
      </c>
      <c r="B30" s="66" t="s">
        <v>151</v>
      </c>
      <c r="C30" s="66">
        <v>244</v>
      </c>
      <c r="D30" s="66">
        <v>1001</v>
      </c>
      <c r="E30" s="5" t="s">
        <v>229</v>
      </c>
      <c r="F30" s="22">
        <v>279</v>
      </c>
      <c r="G30" s="22">
        <v>216</v>
      </c>
      <c r="H30" s="22">
        <v>173.1</v>
      </c>
      <c r="I30" s="35"/>
      <c r="J30" s="67">
        <v>306.89999999999998</v>
      </c>
      <c r="K30" s="124">
        <v>604400</v>
      </c>
      <c r="L30" s="57"/>
      <c r="M30" s="32"/>
      <c r="N30" s="31">
        <f>(K30-M30)</f>
        <v>604400</v>
      </c>
      <c r="O30" s="36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21.6" customHeight="1">
      <c r="A31" s="22">
        <v>171</v>
      </c>
      <c r="B31" s="66" t="s">
        <v>216</v>
      </c>
      <c r="C31" s="66">
        <v>244</v>
      </c>
      <c r="D31" s="66">
        <v>1003</v>
      </c>
      <c r="E31" s="5" t="s">
        <v>291</v>
      </c>
      <c r="F31" s="22">
        <v>237.5</v>
      </c>
      <c r="G31" s="22">
        <v>187.5</v>
      </c>
      <c r="H31" s="22">
        <v>173.9</v>
      </c>
      <c r="I31" s="35"/>
      <c r="J31" s="67">
        <v>266</v>
      </c>
      <c r="K31" s="100">
        <v>475000</v>
      </c>
      <c r="L31" s="57"/>
      <c r="M31" s="32">
        <v>41371.410000000003</v>
      </c>
      <c r="N31" s="31">
        <f>(K31-M31)</f>
        <v>433628.58999999997</v>
      </c>
      <c r="O31" s="36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21" customHeight="1">
      <c r="A32" s="22">
        <v>173</v>
      </c>
      <c r="B32" s="66" t="s">
        <v>217</v>
      </c>
      <c r="C32" s="66">
        <v>244</v>
      </c>
      <c r="D32" s="66">
        <v>1004</v>
      </c>
      <c r="E32" s="5" t="s">
        <v>292</v>
      </c>
      <c r="F32" s="22">
        <v>30.5</v>
      </c>
      <c r="G32" s="22">
        <v>15.5</v>
      </c>
      <c r="H32" s="22">
        <v>9.9</v>
      </c>
      <c r="I32" s="35"/>
      <c r="J32" s="27">
        <v>15.5</v>
      </c>
      <c r="K32" s="100">
        <v>25300</v>
      </c>
      <c r="L32" s="57"/>
      <c r="M32" s="32">
        <v>829.3</v>
      </c>
      <c r="N32" s="31">
        <f>(K32-M32)</f>
        <v>24470.7</v>
      </c>
      <c r="O32" s="36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5" customHeight="1">
      <c r="A33" s="22"/>
      <c r="B33" s="47"/>
      <c r="C33" s="47"/>
      <c r="D33" s="47">
        <v>224</v>
      </c>
      <c r="E33" s="63" t="s">
        <v>17</v>
      </c>
      <c r="F33" s="64">
        <f>SUM(F34:F35)</f>
        <v>0</v>
      </c>
      <c r="G33" s="64">
        <f>SUM(G34:G35)</f>
        <v>0</v>
      </c>
      <c r="H33" s="64">
        <f>SUM(H34:H35)</f>
        <v>0</v>
      </c>
      <c r="I33" s="65"/>
      <c r="J33" s="51">
        <f t="shared" ref="J33:L33" si="6">SUM(J34:J35)</f>
        <v>0</v>
      </c>
      <c r="K33" s="52">
        <f t="shared" si="6"/>
        <v>100</v>
      </c>
      <c r="L33" s="52">
        <f t="shared" si="6"/>
        <v>0</v>
      </c>
      <c r="M33" s="53">
        <f>SUM(M34:M35)</f>
        <v>0</v>
      </c>
      <c r="N33" s="54">
        <f>SUM(N34:N35)</f>
        <v>100</v>
      </c>
      <c r="O33" s="36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9.2" customHeight="1">
      <c r="A34" s="22">
        <v>15</v>
      </c>
      <c r="B34" s="68" t="s">
        <v>293</v>
      </c>
      <c r="C34" s="68">
        <v>244</v>
      </c>
      <c r="D34" s="68"/>
      <c r="E34" s="5" t="s">
        <v>135</v>
      </c>
      <c r="F34" s="22"/>
      <c r="G34" s="22"/>
      <c r="H34" s="22"/>
      <c r="I34" s="26"/>
      <c r="J34" s="67"/>
      <c r="K34" s="69">
        <v>100</v>
      </c>
      <c r="L34" s="57"/>
      <c r="M34" s="32"/>
      <c r="N34" s="31">
        <f>(K34-M34)</f>
        <v>100</v>
      </c>
      <c r="O34" s="36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9.95" hidden="1" customHeight="1">
      <c r="A35" s="22"/>
      <c r="B35" s="68"/>
      <c r="C35" s="68"/>
      <c r="D35" s="68"/>
      <c r="E35" s="5" t="s">
        <v>18</v>
      </c>
      <c r="F35" s="22"/>
      <c r="G35" s="22"/>
      <c r="H35" s="22"/>
      <c r="I35" s="26"/>
      <c r="J35" s="67"/>
      <c r="K35" s="69"/>
      <c r="L35" s="71"/>
      <c r="M35" s="32"/>
      <c r="N35" s="29"/>
      <c r="O35" s="36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8" ht="15.6" customHeight="1">
      <c r="A36" s="22"/>
      <c r="B36" s="47"/>
      <c r="C36" s="47"/>
      <c r="D36" s="47">
        <v>225</v>
      </c>
      <c r="E36" s="63" t="s">
        <v>294</v>
      </c>
      <c r="F36" s="64">
        <f>SUM(F49:F65)</f>
        <v>0</v>
      </c>
      <c r="G36" s="64">
        <f>SUM(G49:G65)</f>
        <v>0</v>
      </c>
      <c r="H36" s="64">
        <f>SUM(H49:H65)</f>
        <v>0</v>
      </c>
      <c r="I36" s="65"/>
      <c r="J36" s="51">
        <f>SUM(J49:J65)</f>
        <v>0</v>
      </c>
      <c r="K36" s="54">
        <f>SUM(K37:K66)</f>
        <v>2703100</v>
      </c>
      <c r="L36" s="54">
        <f>SUM(L37:L66)</f>
        <v>0</v>
      </c>
      <c r="M36" s="54">
        <f>SUM(M37:M66)</f>
        <v>30089</v>
      </c>
      <c r="N36" s="54">
        <f>SUM(N37:N66)</f>
        <v>2595911</v>
      </c>
      <c r="O36" s="54">
        <f>SUM(O37:O66)</f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29.4" customHeight="1">
      <c r="A37" s="22">
        <v>16</v>
      </c>
      <c r="B37" s="55" t="s">
        <v>152</v>
      </c>
      <c r="C37" s="55">
        <v>244</v>
      </c>
      <c r="D37" s="55"/>
      <c r="E37" s="72" t="s">
        <v>108</v>
      </c>
      <c r="F37" s="22"/>
      <c r="G37" s="22"/>
      <c r="H37" s="22"/>
      <c r="I37" s="35"/>
      <c r="J37" s="27"/>
      <c r="K37" s="100">
        <v>488500</v>
      </c>
      <c r="L37" s="57"/>
      <c r="M37" s="32">
        <v>30089</v>
      </c>
      <c r="N37" s="31">
        <f t="shared" ref="N37:N39" si="7">(K37-M37)</f>
        <v>458411</v>
      </c>
      <c r="O37" s="36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1:28" ht="21.6" customHeight="1">
      <c r="A38" s="22">
        <v>16</v>
      </c>
      <c r="B38" s="55" t="s">
        <v>295</v>
      </c>
      <c r="C38" s="55">
        <v>244</v>
      </c>
      <c r="D38" s="55"/>
      <c r="E38" s="72" t="s">
        <v>107</v>
      </c>
      <c r="F38" s="22"/>
      <c r="G38" s="22"/>
      <c r="H38" s="22"/>
      <c r="I38" s="35"/>
      <c r="J38" s="27"/>
      <c r="K38" s="100">
        <v>43000</v>
      </c>
      <c r="L38" s="57"/>
      <c r="M38" s="32"/>
      <c r="N38" s="31">
        <f t="shared" si="7"/>
        <v>43000</v>
      </c>
      <c r="O38" s="36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21.6" customHeight="1">
      <c r="A39" s="22">
        <v>17</v>
      </c>
      <c r="B39" s="55" t="s">
        <v>153</v>
      </c>
      <c r="C39" s="55">
        <v>244</v>
      </c>
      <c r="D39" s="55"/>
      <c r="E39" s="72" t="s">
        <v>5</v>
      </c>
      <c r="F39" s="22">
        <v>42.6</v>
      </c>
      <c r="G39" s="22">
        <v>55.6</v>
      </c>
      <c r="H39" s="22">
        <v>38.4</v>
      </c>
      <c r="I39" s="35"/>
      <c r="J39" s="27">
        <f t="shared" ref="J39" si="8">F39*1</f>
        <v>42.6</v>
      </c>
      <c r="K39" s="100">
        <v>92100</v>
      </c>
      <c r="L39" s="57"/>
      <c r="M39" s="32"/>
      <c r="N39" s="56">
        <f t="shared" si="7"/>
        <v>92100</v>
      </c>
      <c r="O39" s="36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ht="21.6" customHeight="1">
      <c r="A40" s="22"/>
      <c r="B40" s="55" t="s">
        <v>225</v>
      </c>
      <c r="C40" s="55">
        <v>244</v>
      </c>
      <c r="D40" s="55"/>
      <c r="E40" s="72" t="s">
        <v>296</v>
      </c>
      <c r="F40" s="22"/>
      <c r="G40" s="22"/>
      <c r="H40" s="22"/>
      <c r="I40" s="35"/>
      <c r="J40" s="27"/>
      <c r="K40" s="100">
        <v>77100</v>
      </c>
      <c r="L40" s="57"/>
      <c r="M40" s="32"/>
      <c r="N40" s="56"/>
      <c r="O40" s="36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39" customHeight="1">
      <c r="A41" s="5">
        <v>18</v>
      </c>
      <c r="B41" s="75" t="s">
        <v>154</v>
      </c>
      <c r="C41" s="75" t="s">
        <v>221</v>
      </c>
      <c r="D41" s="75"/>
      <c r="E41" s="72" t="s">
        <v>126</v>
      </c>
      <c r="F41" s="22">
        <v>60</v>
      </c>
      <c r="G41" s="22">
        <v>70</v>
      </c>
      <c r="H41" s="22">
        <v>55.9</v>
      </c>
      <c r="I41" s="35"/>
      <c r="J41" s="27">
        <f t="shared" ref="J41" si="9">F41*1</f>
        <v>60</v>
      </c>
      <c r="K41" s="100">
        <v>96200</v>
      </c>
      <c r="L41" s="76"/>
      <c r="M41" s="32"/>
      <c r="N41" s="56">
        <f t="shared" ref="N41:N44" si="10">(K41-M41)</f>
        <v>96200</v>
      </c>
      <c r="O41" s="36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21" customHeight="1">
      <c r="A42" s="5">
        <v>19</v>
      </c>
      <c r="B42" s="75" t="s">
        <v>155</v>
      </c>
      <c r="C42" s="75" t="s">
        <v>221</v>
      </c>
      <c r="D42" s="75"/>
      <c r="E42" s="122" t="s">
        <v>99</v>
      </c>
      <c r="F42" s="22"/>
      <c r="G42" s="22"/>
      <c r="H42" s="22"/>
      <c r="I42" s="35"/>
      <c r="J42" s="27"/>
      <c r="K42" s="100">
        <v>3000</v>
      </c>
      <c r="L42" s="76"/>
      <c r="M42" s="32"/>
      <c r="N42" s="56">
        <f t="shared" si="10"/>
        <v>3000</v>
      </c>
      <c r="O42" s="36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8.600000000000001" customHeight="1">
      <c r="A43" s="5">
        <v>19</v>
      </c>
      <c r="B43" s="75" t="s">
        <v>155</v>
      </c>
      <c r="C43" s="75" t="s">
        <v>221</v>
      </c>
      <c r="D43" s="75"/>
      <c r="E43" s="122" t="s">
        <v>100</v>
      </c>
      <c r="F43" s="22"/>
      <c r="G43" s="22"/>
      <c r="H43" s="22"/>
      <c r="I43" s="35"/>
      <c r="J43" s="27"/>
      <c r="K43" s="100">
        <v>3500</v>
      </c>
      <c r="L43" s="76"/>
      <c r="M43" s="32"/>
      <c r="N43" s="31">
        <f t="shared" si="10"/>
        <v>3500</v>
      </c>
      <c r="O43" s="36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ht="36" customHeight="1">
      <c r="A44" s="22">
        <v>20</v>
      </c>
      <c r="B44" s="55" t="s">
        <v>156</v>
      </c>
      <c r="C44" s="55">
        <v>244</v>
      </c>
      <c r="D44" s="55"/>
      <c r="E44" s="74" t="s">
        <v>70</v>
      </c>
      <c r="F44" s="22"/>
      <c r="G44" s="22"/>
      <c r="H44" s="22"/>
      <c r="I44" s="35"/>
      <c r="J44" s="27"/>
      <c r="K44" s="100">
        <v>1303500</v>
      </c>
      <c r="L44" s="77"/>
      <c r="M44" s="32"/>
      <c r="N44" s="31">
        <f t="shared" si="10"/>
        <v>1303500</v>
      </c>
      <c r="O44" s="36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39.6" customHeight="1">
      <c r="A45" s="118">
        <v>22</v>
      </c>
      <c r="B45" s="55" t="s">
        <v>158</v>
      </c>
      <c r="C45" s="55">
        <v>244</v>
      </c>
      <c r="D45" s="55"/>
      <c r="E45" s="72" t="s">
        <v>91</v>
      </c>
      <c r="F45" s="34">
        <v>216</v>
      </c>
      <c r="G45" s="34">
        <v>158</v>
      </c>
      <c r="H45" s="34">
        <v>140.19999999999999</v>
      </c>
      <c r="I45" s="35"/>
      <c r="J45" s="27">
        <f>F45*1</f>
        <v>216</v>
      </c>
      <c r="K45" s="100">
        <v>235000</v>
      </c>
      <c r="L45" s="57"/>
      <c r="M45" s="32"/>
      <c r="N45" s="31">
        <f t="shared" ref="N45:N66" si="11">(K45-M45)</f>
        <v>235000</v>
      </c>
      <c r="O45" s="36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28" ht="30" customHeight="1">
      <c r="A46" s="22">
        <v>21</v>
      </c>
      <c r="B46" s="55" t="s">
        <v>157</v>
      </c>
      <c r="C46" s="55">
        <v>244</v>
      </c>
      <c r="D46" s="55"/>
      <c r="E46" s="72" t="s">
        <v>76</v>
      </c>
      <c r="F46" s="34"/>
      <c r="G46" s="34"/>
      <c r="H46" s="34"/>
      <c r="I46" s="35"/>
      <c r="J46" s="27">
        <f>F46*1</f>
        <v>0</v>
      </c>
      <c r="K46" s="100">
        <v>19600</v>
      </c>
      <c r="L46" s="76"/>
      <c r="M46" s="32"/>
      <c r="N46" s="31">
        <f t="shared" si="11"/>
        <v>19600</v>
      </c>
      <c r="O46" s="36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30" customHeight="1">
      <c r="A47" s="22"/>
      <c r="B47" s="55" t="s">
        <v>159</v>
      </c>
      <c r="C47" s="55">
        <v>244</v>
      </c>
      <c r="D47" s="55"/>
      <c r="E47" s="72" t="s">
        <v>297</v>
      </c>
      <c r="F47" s="60"/>
      <c r="G47" s="60"/>
      <c r="H47" s="60"/>
      <c r="I47" s="35"/>
      <c r="J47" s="27"/>
      <c r="K47" s="100">
        <v>30000</v>
      </c>
      <c r="L47" s="76"/>
      <c r="M47" s="32"/>
      <c r="N47" s="31">
        <f t="shared" si="11"/>
        <v>30000</v>
      </c>
      <c r="O47" s="36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ht="29.4" customHeight="1">
      <c r="A48" s="118">
        <v>21</v>
      </c>
      <c r="B48" s="55" t="s">
        <v>231</v>
      </c>
      <c r="C48" s="55">
        <v>244</v>
      </c>
      <c r="D48" s="55"/>
      <c r="E48" s="72" t="s">
        <v>298</v>
      </c>
      <c r="F48" s="60"/>
      <c r="G48" s="60"/>
      <c r="H48" s="60"/>
      <c r="I48" s="35"/>
      <c r="J48" s="27"/>
      <c r="K48" s="100">
        <v>58000</v>
      </c>
      <c r="L48" s="57"/>
      <c r="M48" s="32"/>
      <c r="N48" s="31">
        <f t="shared" ref="N48" si="12">(K48-M48)</f>
        <v>58000</v>
      </c>
      <c r="O48" s="36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23.4" customHeight="1">
      <c r="A49" s="118">
        <v>21</v>
      </c>
      <c r="B49" s="55" t="s">
        <v>157</v>
      </c>
      <c r="C49" s="55">
        <v>244</v>
      </c>
      <c r="D49" s="55"/>
      <c r="E49" s="72" t="s">
        <v>69</v>
      </c>
      <c r="F49" s="60"/>
      <c r="G49" s="60"/>
      <c r="H49" s="60"/>
      <c r="I49" s="35"/>
      <c r="J49" s="27"/>
      <c r="K49" s="100">
        <v>59400</v>
      </c>
      <c r="L49" s="57"/>
      <c r="M49" s="32"/>
      <c r="N49" s="31">
        <f t="shared" si="11"/>
        <v>59400</v>
      </c>
      <c r="O49" s="36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ht="13.2" hidden="1" customHeight="1">
      <c r="A50" s="22"/>
      <c r="B50" s="55"/>
      <c r="C50" s="55">
        <v>244</v>
      </c>
      <c r="D50" s="55"/>
      <c r="E50" s="72" t="s">
        <v>59</v>
      </c>
      <c r="F50" s="22"/>
      <c r="G50" s="22"/>
      <c r="H50" s="22"/>
      <c r="I50" s="35"/>
      <c r="J50" s="27">
        <f t="shared" ref="J50" si="13">F50*1</f>
        <v>0</v>
      </c>
      <c r="K50" s="100"/>
      <c r="L50" s="71"/>
      <c r="M50" s="32"/>
      <c r="N50" s="56">
        <f t="shared" si="11"/>
        <v>0</v>
      </c>
      <c r="O50" s="36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23.4" customHeight="1">
      <c r="A51" s="118"/>
      <c r="B51" s="55" t="s">
        <v>235</v>
      </c>
      <c r="C51" s="55">
        <v>244</v>
      </c>
      <c r="D51" s="55"/>
      <c r="E51" s="72" t="s">
        <v>299</v>
      </c>
      <c r="F51" s="60"/>
      <c r="G51" s="60"/>
      <c r="H51" s="60"/>
      <c r="I51" s="35"/>
      <c r="J51" s="27"/>
      <c r="K51" s="100">
        <v>19200</v>
      </c>
      <c r="L51" s="57"/>
      <c r="M51" s="32"/>
      <c r="N51" s="31">
        <f t="shared" ref="N51:N55" si="14">(K51-M51)</f>
        <v>19200</v>
      </c>
      <c r="O51" s="36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28" ht="25.2" customHeight="1">
      <c r="A52" s="118">
        <v>23</v>
      </c>
      <c r="B52" s="55" t="s">
        <v>159</v>
      </c>
      <c r="C52" s="55">
        <v>244</v>
      </c>
      <c r="D52" s="55"/>
      <c r="E52" s="72" t="s">
        <v>234</v>
      </c>
      <c r="F52" s="60"/>
      <c r="G52" s="60"/>
      <c r="H52" s="60"/>
      <c r="I52" s="35"/>
      <c r="J52" s="27"/>
      <c r="K52" s="100">
        <v>128000</v>
      </c>
      <c r="L52" s="57"/>
      <c r="M52" s="32"/>
      <c r="N52" s="31">
        <f t="shared" si="14"/>
        <v>128000</v>
      </c>
      <c r="O52" s="36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ht="19.2" customHeight="1">
      <c r="A53" s="22">
        <v>24</v>
      </c>
      <c r="B53" s="55" t="s">
        <v>160</v>
      </c>
      <c r="C53" s="55">
        <v>244</v>
      </c>
      <c r="D53" s="55"/>
      <c r="E53" s="78" t="s">
        <v>161</v>
      </c>
      <c r="F53" s="79"/>
      <c r="G53" s="79"/>
      <c r="H53" s="79"/>
      <c r="I53" s="35"/>
      <c r="J53" s="27"/>
      <c r="K53" s="100">
        <v>20000</v>
      </c>
      <c r="L53" s="57"/>
      <c r="M53" s="32"/>
      <c r="N53" s="31">
        <f t="shared" si="14"/>
        <v>20000</v>
      </c>
      <c r="O53" s="36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ht="17.399999999999999" customHeight="1">
      <c r="A54" s="22">
        <v>25</v>
      </c>
      <c r="B54" s="55" t="s">
        <v>162</v>
      </c>
      <c r="C54" s="55">
        <v>244</v>
      </c>
      <c r="D54" s="55"/>
      <c r="E54" s="78" t="s">
        <v>117</v>
      </c>
      <c r="F54" s="79"/>
      <c r="G54" s="79"/>
      <c r="H54" s="79"/>
      <c r="I54" s="35"/>
      <c r="J54" s="27"/>
      <c r="K54" s="100">
        <v>7000</v>
      </c>
      <c r="L54" s="57"/>
      <c r="M54" s="32"/>
      <c r="N54" s="31">
        <f t="shared" si="14"/>
        <v>7000</v>
      </c>
      <c r="O54" s="36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28" ht="28.95" customHeight="1">
      <c r="A55" s="22"/>
      <c r="B55" s="55" t="s">
        <v>223</v>
      </c>
      <c r="C55" s="55">
        <v>244</v>
      </c>
      <c r="D55" s="55">
        <v>25</v>
      </c>
      <c r="E55" s="78" t="s">
        <v>224</v>
      </c>
      <c r="F55" s="79"/>
      <c r="G55" s="79"/>
      <c r="H55" s="79"/>
      <c r="I55" s="61"/>
      <c r="J55" s="27"/>
      <c r="K55" s="100">
        <v>20000</v>
      </c>
      <c r="L55" s="57"/>
      <c r="M55" s="36"/>
      <c r="N55" s="31">
        <f t="shared" si="14"/>
        <v>20000</v>
      </c>
      <c r="O55" s="36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ht="21" hidden="1" customHeight="1">
      <c r="A56" s="5"/>
      <c r="B56" s="75"/>
      <c r="C56" s="75" t="s">
        <v>221</v>
      </c>
      <c r="D56" s="75"/>
      <c r="E56" s="122" t="s">
        <v>287</v>
      </c>
      <c r="F56" s="22"/>
      <c r="G56" s="22"/>
      <c r="H56" s="22"/>
      <c r="I56" s="35"/>
      <c r="J56" s="27"/>
      <c r="K56" s="100"/>
      <c r="L56" s="76"/>
      <c r="M56" s="32"/>
      <c r="N56" s="56">
        <f t="shared" si="11"/>
        <v>0</v>
      </c>
      <c r="O56" s="36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28" ht="18.600000000000001" hidden="1" customHeight="1">
      <c r="A57" s="5">
        <v>19</v>
      </c>
      <c r="B57" s="75" t="s">
        <v>155</v>
      </c>
      <c r="C57" s="75" t="s">
        <v>221</v>
      </c>
      <c r="D57" s="75" t="s">
        <v>266</v>
      </c>
      <c r="E57" s="122" t="s">
        <v>100</v>
      </c>
      <c r="F57" s="22"/>
      <c r="G57" s="22"/>
      <c r="H57" s="22"/>
      <c r="I57" s="35"/>
      <c r="J57" s="27"/>
      <c r="K57" s="100"/>
      <c r="L57" s="76"/>
      <c r="M57" s="32"/>
      <c r="N57" s="31">
        <f t="shared" si="11"/>
        <v>0</v>
      </c>
      <c r="O57" s="36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36" hidden="1" customHeight="1">
      <c r="A58" s="22">
        <v>20</v>
      </c>
      <c r="B58" s="55" t="s">
        <v>156</v>
      </c>
      <c r="C58" s="55">
        <v>244</v>
      </c>
      <c r="D58" s="55">
        <v>19</v>
      </c>
      <c r="E58" s="74" t="s">
        <v>70</v>
      </c>
      <c r="F58" s="22"/>
      <c r="G58" s="22"/>
      <c r="H58" s="22"/>
      <c r="I58" s="35"/>
      <c r="J58" s="27"/>
      <c r="K58" s="100"/>
      <c r="L58" s="77"/>
      <c r="M58" s="32"/>
      <c r="N58" s="31">
        <f t="shared" si="11"/>
        <v>0</v>
      </c>
      <c r="O58" s="36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28" ht="33.6" hidden="1" customHeight="1">
      <c r="A59" s="22">
        <v>20</v>
      </c>
      <c r="B59" s="55" t="s">
        <v>156</v>
      </c>
      <c r="C59" s="55">
        <v>244</v>
      </c>
      <c r="D59" s="55">
        <v>19</v>
      </c>
      <c r="E59" s="74" t="s">
        <v>11</v>
      </c>
      <c r="F59" s="22"/>
      <c r="G59" s="22"/>
      <c r="H59" s="22"/>
      <c r="I59" s="35"/>
      <c r="J59" s="27"/>
      <c r="K59" s="100"/>
      <c r="L59" s="77"/>
      <c r="M59" s="32"/>
      <c r="N59" s="31">
        <f t="shared" si="11"/>
        <v>0</v>
      </c>
      <c r="O59" s="36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ht="25.2" hidden="1" customHeight="1">
      <c r="A60" s="118">
        <v>23</v>
      </c>
      <c r="B60" s="55" t="s">
        <v>159</v>
      </c>
      <c r="C60" s="55">
        <v>244</v>
      </c>
      <c r="D60" s="55">
        <v>22</v>
      </c>
      <c r="E60" s="72" t="s">
        <v>234</v>
      </c>
      <c r="F60" s="60"/>
      <c r="G60" s="60"/>
      <c r="H60" s="60"/>
      <c r="I60" s="35"/>
      <c r="J60" s="27"/>
      <c r="K60" s="100"/>
      <c r="L60" s="57"/>
      <c r="M60" s="32"/>
      <c r="N60" s="31">
        <f t="shared" si="11"/>
        <v>0</v>
      </c>
      <c r="O60" s="36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:28" ht="23.4" hidden="1" customHeight="1">
      <c r="A61" s="118"/>
      <c r="B61" s="55" t="s">
        <v>235</v>
      </c>
      <c r="C61" s="55">
        <v>244</v>
      </c>
      <c r="D61" s="55">
        <v>20</v>
      </c>
      <c r="E61" s="72" t="s">
        <v>236</v>
      </c>
      <c r="F61" s="60"/>
      <c r="G61" s="60"/>
      <c r="H61" s="60"/>
      <c r="I61" s="35"/>
      <c r="J61" s="27"/>
      <c r="K61" s="100"/>
      <c r="L61" s="57"/>
      <c r="M61" s="32"/>
      <c r="N61" s="31">
        <f t="shared" si="11"/>
        <v>0</v>
      </c>
      <c r="O61" s="36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28" ht="21" hidden="1" customHeight="1">
      <c r="A62" s="118">
        <v>21</v>
      </c>
      <c r="B62" s="55" t="s">
        <v>231</v>
      </c>
      <c r="C62" s="55">
        <v>244</v>
      </c>
      <c r="D62" s="55">
        <v>107</v>
      </c>
      <c r="E62" s="72" t="s">
        <v>232</v>
      </c>
      <c r="F62" s="60"/>
      <c r="G62" s="60"/>
      <c r="H62" s="60"/>
      <c r="I62" s="35"/>
      <c r="J62" s="27"/>
      <c r="K62" s="100"/>
      <c r="L62" s="57"/>
      <c r="M62" s="32"/>
      <c r="N62" s="31">
        <f t="shared" si="11"/>
        <v>0</v>
      </c>
      <c r="O62" s="36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28" ht="21" hidden="1" customHeight="1">
      <c r="A63" s="22">
        <v>23</v>
      </c>
      <c r="B63" s="55" t="s">
        <v>159</v>
      </c>
      <c r="C63" s="55">
        <v>244</v>
      </c>
      <c r="D63" s="55"/>
      <c r="E63" s="72" t="s">
        <v>92</v>
      </c>
      <c r="F63" s="60"/>
      <c r="G63" s="60"/>
      <c r="H63" s="60"/>
      <c r="I63" s="35"/>
      <c r="J63" s="27"/>
      <c r="K63" s="100"/>
      <c r="L63" s="57"/>
      <c r="M63" s="32"/>
      <c r="N63" s="31">
        <f t="shared" si="11"/>
        <v>0</v>
      </c>
      <c r="O63" s="36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28" ht="19.2" hidden="1" customHeight="1">
      <c r="A64" s="22">
        <v>24</v>
      </c>
      <c r="B64" s="55" t="s">
        <v>160</v>
      </c>
      <c r="C64" s="55">
        <v>244</v>
      </c>
      <c r="D64" s="55">
        <v>23</v>
      </c>
      <c r="E64" s="78" t="s">
        <v>161</v>
      </c>
      <c r="F64" s="79"/>
      <c r="G64" s="79"/>
      <c r="H64" s="79"/>
      <c r="I64" s="35"/>
      <c r="J64" s="27"/>
      <c r="K64" s="100"/>
      <c r="L64" s="57"/>
      <c r="M64" s="32"/>
      <c r="N64" s="31">
        <f t="shared" si="11"/>
        <v>0</v>
      </c>
      <c r="O64" s="36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ht="17.399999999999999" hidden="1" customHeight="1">
      <c r="A65" s="22">
        <v>25</v>
      </c>
      <c r="B65" s="55" t="s">
        <v>162</v>
      </c>
      <c r="C65" s="55">
        <v>244</v>
      </c>
      <c r="D65" s="55">
        <v>24</v>
      </c>
      <c r="E65" s="78" t="s">
        <v>117</v>
      </c>
      <c r="F65" s="79"/>
      <c r="G65" s="79"/>
      <c r="H65" s="79"/>
      <c r="I65" s="35"/>
      <c r="J65" s="27"/>
      <c r="K65" s="100"/>
      <c r="L65" s="57"/>
      <c r="M65" s="32"/>
      <c r="N65" s="31">
        <f t="shared" si="11"/>
        <v>0</v>
      </c>
      <c r="O65" s="36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ht="28.95" hidden="1" customHeight="1">
      <c r="A66" s="22"/>
      <c r="B66" s="55" t="s">
        <v>223</v>
      </c>
      <c r="C66" s="55">
        <v>244</v>
      </c>
      <c r="D66" s="55">
        <v>25</v>
      </c>
      <c r="E66" s="78" t="s">
        <v>224</v>
      </c>
      <c r="F66" s="79"/>
      <c r="G66" s="79"/>
      <c r="H66" s="79"/>
      <c r="I66" s="61"/>
      <c r="J66" s="27"/>
      <c r="K66" s="100"/>
      <c r="L66" s="57"/>
      <c r="M66" s="36"/>
      <c r="N66" s="31">
        <f t="shared" si="11"/>
        <v>0</v>
      </c>
      <c r="O66" s="36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ht="21" customHeight="1">
      <c r="A67" s="22"/>
      <c r="B67" s="47"/>
      <c r="C67" s="47"/>
      <c r="D67" s="47">
        <v>226</v>
      </c>
      <c r="E67" s="80" t="s">
        <v>19</v>
      </c>
      <c r="F67" s="64">
        <f>SUM(F68:F99)</f>
        <v>962.8</v>
      </c>
      <c r="G67" s="81">
        <f>SUM(G68:G99)</f>
        <v>915.3</v>
      </c>
      <c r="H67" s="64">
        <f>SUM(H68:H99)</f>
        <v>756.67</v>
      </c>
      <c r="I67" s="65"/>
      <c r="J67" s="51">
        <f t="shared" ref="J67:O67" si="15">SUM(J68:J99)</f>
        <v>1028</v>
      </c>
      <c r="K67" s="54">
        <f t="shared" si="15"/>
        <v>3559100</v>
      </c>
      <c r="L67" s="52">
        <f t="shared" si="15"/>
        <v>0</v>
      </c>
      <c r="M67" s="53">
        <f>SUM(M68:M99)</f>
        <v>39031.449999999997</v>
      </c>
      <c r="N67" s="53">
        <f t="shared" si="15"/>
        <v>3520068.55</v>
      </c>
      <c r="O67" s="53">
        <f t="shared" si="15"/>
        <v>0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ht="12" hidden="1" customHeight="1">
      <c r="A68" s="22"/>
      <c r="B68" s="82"/>
      <c r="C68" s="82"/>
      <c r="D68" s="82"/>
      <c r="E68" s="72" t="s">
        <v>2</v>
      </c>
      <c r="F68" s="22">
        <v>2.2999999999999998</v>
      </c>
      <c r="G68" s="22"/>
      <c r="H68" s="22"/>
      <c r="I68" s="35"/>
      <c r="J68" s="27">
        <f>F68*1</f>
        <v>2.2999999999999998</v>
      </c>
      <c r="K68" s="28"/>
      <c r="L68" s="57"/>
      <c r="M68" s="32"/>
      <c r="N68" s="31"/>
      <c r="O68" s="36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ht="15" hidden="1" customHeight="1">
      <c r="A69" s="22"/>
      <c r="B69" s="82"/>
      <c r="C69" s="82"/>
      <c r="D69" s="82"/>
      <c r="E69" s="72" t="s">
        <v>32</v>
      </c>
      <c r="F69" s="22"/>
      <c r="G69" s="29">
        <v>0.71</v>
      </c>
      <c r="H69" s="22">
        <v>0.71</v>
      </c>
      <c r="I69" s="35"/>
      <c r="J69" s="27"/>
      <c r="K69" s="28"/>
      <c r="L69" s="57"/>
      <c r="M69" s="32"/>
      <c r="N69" s="31"/>
      <c r="O69" s="36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ht="32.4" customHeight="1">
      <c r="A70" s="22">
        <v>26</v>
      </c>
      <c r="B70" s="55" t="s">
        <v>163</v>
      </c>
      <c r="C70" s="55">
        <v>244</v>
      </c>
      <c r="D70" s="55"/>
      <c r="E70" s="72" t="s">
        <v>93</v>
      </c>
      <c r="F70" s="22"/>
      <c r="G70" s="29"/>
      <c r="H70" s="22"/>
      <c r="I70" s="35"/>
      <c r="J70" s="27"/>
      <c r="K70" s="100">
        <v>55000</v>
      </c>
      <c r="L70" s="57"/>
      <c r="M70" s="32"/>
      <c r="N70" s="31">
        <f t="shared" ref="N70:N99" si="16">(K70-M70)</f>
        <v>55000</v>
      </c>
      <c r="O70" s="36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0.399999999999999" customHeight="1">
      <c r="A71" s="22">
        <v>27</v>
      </c>
      <c r="B71" s="55" t="s">
        <v>164</v>
      </c>
      <c r="C71" s="55">
        <v>244</v>
      </c>
      <c r="D71" s="55"/>
      <c r="E71" s="72" t="s">
        <v>113</v>
      </c>
      <c r="F71" s="22"/>
      <c r="G71" s="22"/>
      <c r="H71" s="22"/>
      <c r="I71" s="35"/>
      <c r="J71" s="27"/>
      <c r="K71" s="100">
        <v>8000</v>
      </c>
      <c r="L71" s="71"/>
      <c r="M71" s="32"/>
      <c r="N71" s="31">
        <f t="shared" si="16"/>
        <v>8000</v>
      </c>
      <c r="O71" s="36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0.95" hidden="1" customHeight="1">
      <c r="A72" s="22" t="s">
        <v>84</v>
      </c>
      <c r="B72" s="55">
        <v>7421000</v>
      </c>
      <c r="C72" s="55"/>
      <c r="D72" s="55"/>
      <c r="E72" s="5" t="s">
        <v>77</v>
      </c>
      <c r="F72" s="34"/>
      <c r="G72" s="29"/>
      <c r="H72" s="34"/>
      <c r="I72" s="35"/>
      <c r="J72" s="27"/>
      <c r="K72" s="100">
        <v>0</v>
      </c>
      <c r="L72" s="57"/>
      <c r="M72" s="32"/>
      <c r="N72" s="31">
        <f t="shared" si="16"/>
        <v>0</v>
      </c>
      <c r="O72" s="36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25.95" customHeight="1">
      <c r="A73" s="22">
        <v>29</v>
      </c>
      <c r="B73" s="55" t="s">
        <v>165</v>
      </c>
      <c r="C73" s="55">
        <v>244</v>
      </c>
      <c r="D73" s="55"/>
      <c r="E73" s="74" t="s">
        <v>71</v>
      </c>
      <c r="F73" s="34">
        <v>45</v>
      </c>
      <c r="G73" s="34">
        <v>45</v>
      </c>
      <c r="H73" s="34">
        <v>45</v>
      </c>
      <c r="I73" s="35"/>
      <c r="J73" s="27">
        <v>110.2</v>
      </c>
      <c r="K73" s="100">
        <v>100000</v>
      </c>
      <c r="L73" s="57"/>
      <c r="M73" s="32"/>
      <c r="N73" s="31">
        <f t="shared" si="16"/>
        <v>100000</v>
      </c>
      <c r="O73" s="36" t="s">
        <v>134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ht="34.950000000000003" customHeight="1">
      <c r="A74" s="22">
        <v>30</v>
      </c>
      <c r="B74" s="55" t="s">
        <v>166</v>
      </c>
      <c r="C74" s="55">
        <v>244</v>
      </c>
      <c r="D74" s="55"/>
      <c r="E74" s="74" t="s">
        <v>12</v>
      </c>
      <c r="F74" s="34">
        <v>49</v>
      </c>
      <c r="G74" s="29">
        <v>48.59</v>
      </c>
      <c r="H74" s="29">
        <v>48.59</v>
      </c>
      <c r="I74" s="35"/>
      <c r="J74" s="27">
        <f>F74*1</f>
        <v>49</v>
      </c>
      <c r="K74" s="100">
        <v>74000</v>
      </c>
      <c r="L74" s="57"/>
      <c r="M74" s="32"/>
      <c r="N74" s="56">
        <f t="shared" si="16"/>
        <v>74000</v>
      </c>
      <c r="O74" s="36" t="s">
        <v>49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 ht="25.95" customHeight="1">
      <c r="A75" s="22">
        <v>31</v>
      </c>
      <c r="B75" s="55" t="s">
        <v>167</v>
      </c>
      <c r="C75" s="55">
        <v>244</v>
      </c>
      <c r="D75" s="55"/>
      <c r="E75" s="72" t="s">
        <v>10</v>
      </c>
      <c r="F75" s="34">
        <v>91</v>
      </c>
      <c r="G75" s="34">
        <v>101</v>
      </c>
      <c r="H75" s="34">
        <v>80.900000000000006</v>
      </c>
      <c r="I75" s="35"/>
      <c r="J75" s="27">
        <f>F75*1</f>
        <v>91</v>
      </c>
      <c r="K75" s="100">
        <v>281900</v>
      </c>
      <c r="L75" s="57"/>
      <c r="M75" s="32"/>
      <c r="N75" s="31">
        <f t="shared" si="16"/>
        <v>281900</v>
      </c>
      <c r="O75" s="36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ht="21.6" customHeight="1">
      <c r="A76" s="5"/>
      <c r="B76" s="55"/>
      <c r="C76" s="55">
        <v>244</v>
      </c>
      <c r="D76" s="75"/>
      <c r="E76" s="72" t="s">
        <v>34</v>
      </c>
      <c r="F76" s="34">
        <v>513</v>
      </c>
      <c r="G76" s="34">
        <v>558</v>
      </c>
      <c r="H76" s="34">
        <v>450.2</v>
      </c>
      <c r="I76" s="35"/>
      <c r="J76" s="27">
        <f>F76*1</f>
        <v>513</v>
      </c>
      <c r="K76" s="100">
        <v>821000</v>
      </c>
      <c r="L76" s="57"/>
      <c r="M76" s="30">
        <v>39031.449999999997</v>
      </c>
      <c r="N76" s="56">
        <f t="shared" ref="N76" si="17">(K76-M76)</f>
        <v>781968.55</v>
      </c>
      <c r="O76" s="36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ht="28.2" customHeight="1">
      <c r="A77" s="5" t="s">
        <v>84</v>
      </c>
      <c r="B77" s="55" t="s">
        <v>237</v>
      </c>
      <c r="C77" s="55">
        <v>244</v>
      </c>
      <c r="D77" s="55"/>
      <c r="E77" s="72" t="s">
        <v>238</v>
      </c>
      <c r="F77" s="34"/>
      <c r="G77" s="34"/>
      <c r="H77" s="34"/>
      <c r="I77" s="35"/>
      <c r="J77" s="27"/>
      <c r="K77" s="100">
        <v>308000</v>
      </c>
      <c r="L77" s="57"/>
      <c r="M77" s="30"/>
      <c r="N77" s="56">
        <f t="shared" si="16"/>
        <v>308000</v>
      </c>
      <c r="O77" s="36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  <row r="78" spans="1:28" ht="18.600000000000001" customHeight="1">
      <c r="A78" s="22">
        <v>38</v>
      </c>
      <c r="B78" s="55" t="s">
        <v>168</v>
      </c>
      <c r="C78" s="55">
        <v>244</v>
      </c>
      <c r="D78" s="55"/>
      <c r="E78" s="72" t="s">
        <v>8</v>
      </c>
      <c r="F78" s="22">
        <v>6.2</v>
      </c>
      <c r="G78" s="22">
        <v>3.2</v>
      </c>
      <c r="H78" s="22">
        <v>2</v>
      </c>
      <c r="I78" s="35"/>
      <c r="J78" s="27">
        <f t="shared" ref="J78:J84" si="18">F78*1</f>
        <v>6.2</v>
      </c>
      <c r="K78" s="100">
        <v>8000</v>
      </c>
      <c r="L78" s="57"/>
      <c r="M78" s="32"/>
      <c r="N78" s="31">
        <f t="shared" si="16"/>
        <v>8000</v>
      </c>
      <c r="O78" s="36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1:28" ht="19.2" customHeight="1">
      <c r="A79" s="22">
        <v>39</v>
      </c>
      <c r="B79" s="55" t="s">
        <v>169</v>
      </c>
      <c r="C79" s="55">
        <v>244</v>
      </c>
      <c r="D79" s="55"/>
      <c r="E79" s="72" t="s">
        <v>170</v>
      </c>
      <c r="F79" s="34">
        <v>103</v>
      </c>
      <c r="G79" s="34">
        <v>91.8</v>
      </c>
      <c r="H79" s="34">
        <v>66</v>
      </c>
      <c r="I79" s="35"/>
      <c r="J79" s="27">
        <f t="shared" si="18"/>
        <v>103</v>
      </c>
      <c r="K79" s="100">
        <v>10000</v>
      </c>
      <c r="L79" s="57"/>
      <c r="M79" s="32"/>
      <c r="N79" s="56">
        <f t="shared" si="16"/>
        <v>10000</v>
      </c>
      <c r="O79" s="36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1:28" ht="16.95" customHeight="1">
      <c r="A80" s="22">
        <v>26</v>
      </c>
      <c r="B80" s="55" t="s">
        <v>171</v>
      </c>
      <c r="C80" s="55">
        <v>244</v>
      </c>
      <c r="D80" s="55"/>
      <c r="E80" s="72" t="s">
        <v>13</v>
      </c>
      <c r="F80" s="22"/>
      <c r="G80" s="22"/>
      <c r="H80" s="22"/>
      <c r="I80" s="35"/>
      <c r="J80" s="27">
        <f t="shared" ref="J80" si="19">F80*1</f>
        <v>0</v>
      </c>
      <c r="K80" s="100">
        <f>22900-6300</f>
        <v>16600</v>
      </c>
      <c r="L80" s="71"/>
      <c r="M80" s="32"/>
      <c r="N80" s="31">
        <f t="shared" ref="N80" si="20">(K80-M80)</f>
        <v>16600</v>
      </c>
      <c r="O80" s="36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28" ht="28.95" customHeight="1">
      <c r="A81" s="22">
        <v>177</v>
      </c>
      <c r="B81" s="55" t="s">
        <v>255</v>
      </c>
      <c r="C81" s="55">
        <v>244</v>
      </c>
      <c r="D81" s="55"/>
      <c r="E81" s="72" t="s">
        <v>254</v>
      </c>
      <c r="F81" s="79"/>
      <c r="G81" s="79"/>
      <c r="H81" s="79"/>
      <c r="I81" s="35"/>
      <c r="J81" s="27"/>
      <c r="K81" s="100">
        <v>600</v>
      </c>
      <c r="L81" s="57"/>
      <c r="M81" s="32"/>
      <c r="N81" s="31">
        <f t="shared" ref="N81" si="21">(K81-M81)</f>
        <v>600</v>
      </c>
      <c r="O81" s="36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ht="19.2" customHeight="1">
      <c r="A82" s="22">
        <v>137</v>
      </c>
      <c r="B82" s="55" t="s">
        <v>239</v>
      </c>
      <c r="C82" s="55">
        <v>244</v>
      </c>
      <c r="D82" s="55"/>
      <c r="E82" s="72" t="s">
        <v>78</v>
      </c>
      <c r="F82" s="79"/>
      <c r="G82" s="79"/>
      <c r="H82" s="79"/>
      <c r="I82" s="35"/>
      <c r="J82" s="27"/>
      <c r="K82" s="100">
        <v>100000</v>
      </c>
      <c r="L82" s="71"/>
      <c r="M82" s="32"/>
      <c r="N82" s="31">
        <f t="shared" si="16"/>
        <v>100000</v>
      </c>
      <c r="O82" s="36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ht="19.2" customHeight="1">
      <c r="A83" s="22">
        <v>138</v>
      </c>
      <c r="B83" s="55" t="s">
        <v>212</v>
      </c>
      <c r="C83" s="55">
        <v>244</v>
      </c>
      <c r="D83" s="55"/>
      <c r="E83" s="72" t="s">
        <v>213</v>
      </c>
      <c r="F83" s="79"/>
      <c r="G83" s="79"/>
      <c r="H83" s="79"/>
      <c r="I83" s="35"/>
      <c r="J83" s="27"/>
      <c r="K83" s="100">
        <v>15000</v>
      </c>
      <c r="L83" s="71"/>
      <c r="M83" s="32"/>
      <c r="N83" s="31">
        <f t="shared" si="16"/>
        <v>15000</v>
      </c>
      <c r="O83" s="36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28" ht="27" customHeight="1">
      <c r="A84" s="22">
        <v>43</v>
      </c>
      <c r="B84" s="55" t="s">
        <v>172</v>
      </c>
      <c r="C84" s="55">
        <v>244</v>
      </c>
      <c r="D84" s="55"/>
      <c r="E84" s="72" t="s">
        <v>28</v>
      </c>
      <c r="F84" s="22">
        <v>7.3</v>
      </c>
      <c r="G84" s="22"/>
      <c r="H84" s="22"/>
      <c r="I84" s="35"/>
      <c r="J84" s="27">
        <f t="shared" si="18"/>
        <v>7.3</v>
      </c>
      <c r="K84" s="100">
        <v>120000</v>
      </c>
      <c r="L84" s="71"/>
      <c r="M84" s="32"/>
      <c r="N84" s="31">
        <f t="shared" si="16"/>
        <v>120000</v>
      </c>
      <c r="O84" s="36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ht="27.6" customHeight="1">
      <c r="A85" s="22">
        <v>217</v>
      </c>
      <c r="B85" s="55" t="s">
        <v>173</v>
      </c>
      <c r="C85" s="55">
        <v>244</v>
      </c>
      <c r="D85" s="55"/>
      <c r="E85" s="72" t="s">
        <v>79</v>
      </c>
      <c r="F85" s="79">
        <v>129</v>
      </c>
      <c r="G85" s="60">
        <v>50</v>
      </c>
      <c r="H85" s="79">
        <v>47.28</v>
      </c>
      <c r="I85" s="35"/>
      <c r="J85" s="27">
        <f>F85*1</f>
        <v>129</v>
      </c>
      <c r="K85" s="100">
        <v>26600</v>
      </c>
      <c r="L85" s="57"/>
      <c r="M85" s="32"/>
      <c r="N85" s="31">
        <f t="shared" si="16"/>
        <v>26600</v>
      </c>
      <c r="O85" s="36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28" ht="16.95" customHeight="1">
      <c r="A86" s="22"/>
      <c r="B86" s="55" t="s">
        <v>269</v>
      </c>
      <c r="C86" s="55">
        <v>244</v>
      </c>
      <c r="D86" s="55"/>
      <c r="E86" s="72" t="s">
        <v>270</v>
      </c>
      <c r="F86" s="79"/>
      <c r="G86" s="60"/>
      <c r="H86" s="79"/>
      <c r="I86" s="35"/>
      <c r="J86" s="27"/>
      <c r="K86" s="100">
        <v>1377900</v>
      </c>
      <c r="L86" s="57"/>
      <c r="M86" s="32"/>
      <c r="N86" s="31">
        <f t="shared" si="16"/>
        <v>1377900</v>
      </c>
      <c r="O86" s="36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ht="27.6" customHeight="1">
      <c r="A87" s="22">
        <v>203</v>
      </c>
      <c r="B87" s="55" t="s">
        <v>174</v>
      </c>
      <c r="C87" s="55">
        <v>244</v>
      </c>
      <c r="D87" s="55"/>
      <c r="E87" s="72" t="s">
        <v>240</v>
      </c>
      <c r="F87" s="79"/>
      <c r="G87" s="60"/>
      <c r="H87" s="79"/>
      <c r="I87" s="35"/>
      <c r="J87" s="27"/>
      <c r="K87" s="100">
        <v>36000</v>
      </c>
      <c r="L87" s="57"/>
      <c r="M87" s="32"/>
      <c r="N87" s="31">
        <f t="shared" si="16"/>
        <v>36000</v>
      </c>
      <c r="O87" s="36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ht="19.2" customHeight="1">
      <c r="A88" s="22"/>
      <c r="B88" s="55" t="s">
        <v>273</v>
      </c>
      <c r="C88" s="55">
        <v>244</v>
      </c>
      <c r="D88" s="55"/>
      <c r="E88" s="72" t="s">
        <v>274</v>
      </c>
      <c r="F88" s="79"/>
      <c r="G88" s="79"/>
      <c r="H88" s="79"/>
      <c r="I88" s="35"/>
      <c r="J88" s="27"/>
      <c r="K88" s="100">
        <v>500</v>
      </c>
      <c r="L88" s="57"/>
      <c r="M88" s="32"/>
      <c r="N88" s="31">
        <f t="shared" ref="N88" si="22">(K88-M88)</f>
        <v>500</v>
      </c>
      <c r="O88" s="36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28" ht="19.2" customHeight="1">
      <c r="A89" s="22"/>
      <c r="B89" s="55" t="s">
        <v>300</v>
      </c>
      <c r="C89" s="55">
        <v>244</v>
      </c>
      <c r="D89" s="55"/>
      <c r="E89" s="72" t="s">
        <v>301</v>
      </c>
      <c r="F89" s="79"/>
      <c r="G89" s="60"/>
      <c r="H89" s="79"/>
      <c r="I89" s="35"/>
      <c r="J89" s="27"/>
      <c r="K89" s="100">
        <v>30000</v>
      </c>
      <c r="L89" s="57"/>
      <c r="M89" s="32"/>
      <c r="N89" s="31">
        <f t="shared" si="16"/>
        <v>30000</v>
      </c>
      <c r="O89" s="36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</row>
    <row r="90" spans="1:28" ht="28.2" customHeight="1">
      <c r="A90" s="22">
        <v>44</v>
      </c>
      <c r="B90" s="55" t="s">
        <v>175</v>
      </c>
      <c r="C90" s="55">
        <v>244</v>
      </c>
      <c r="D90" s="55"/>
      <c r="E90" s="72" t="s">
        <v>124</v>
      </c>
      <c r="F90" s="22">
        <v>17</v>
      </c>
      <c r="G90" s="22">
        <v>17</v>
      </c>
      <c r="H90" s="22">
        <v>15.99</v>
      </c>
      <c r="I90" s="35"/>
      <c r="J90" s="27">
        <f>F90*1</f>
        <v>17</v>
      </c>
      <c r="K90" s="100">
        <v>140000</v>
      </c>
      <c r="L90" s="57"/>
      <c r="M90" s="32"/>
      <c r="N90" s="31">
        <f t="shared" si="16"/>
        <v>140000</v>
      </c>
      <c r="O90" s="36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ht="22.95" customHeight="1">
      <c r="A91" s="22">
        <v>203</v>
      </c>
      <c r="B91" s="55" t="s">
        <v>302</v>
      </c>
      <c r="C91" s="55">
        <v>244</v>
      </c>
      <c r="D91" s="55"/>
      <c r="E91" s="72" t="s">
        <v>303</v>
      </c>
      <c r="F91" s="79"/>
      <c r="G91" s="79"/>
      <c r="H91" s="79"/>
      <c r="I91" s="35"/>
      <c r="J91" s="27"/>
      <c r="K91" s="100">
        <v>30000</v>
      </c>
      <c r="L91" s="57"/>
      <c r="M91" s="32"/>
      <c r="N91" s="31">
        <f t="shared" si="16"/>
        <v>30000</v>
      </c>
      <c r="O91" s="36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1:28" ht="22.95" hidden="1" customHeight="1">
      <c r="A92" s="22"/>
      <c r="B92" s="55" t="s">
        <v>277</v>
      </c>
      <c r="C92" s="55">
        <v>244</v>
      </c>
      <c r="D92" s="55">
        <v>141</v>
      </c>
      <c r="E92" s="72" t="s">
        <v>278</v>
      </c>
      <c r="F92" s="79"/>
      <c r="G92" s="79"/>
      <c r="H92" s="79"/>
      <c r="I92" s="35"/>
      <c r="J92" s="27"/>
      <c r="K92" s="100"/>
      <c r="L92" s="57"/>
      <c r="M92" s="32"/>
      <c r="N92" s="31">
        <f t="shared" si="16"/>
        <v>0</v>
      </c>
      <c r="O92" s="36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1:28" ht="22.95" hidden="1" customHeight="1">
      <c r="A93" s="22"/>
      <c r="B93" s="55" t="s">
        <v>227</v>
      </c>
      <c r="C93" s="55">
        <v>244</v>
      </c>
      <c r="D93" s="55">
        <v>111</v>
      </c>
      <c r="E93" s="72" t="s">
        <v>268</v>
      </c>
      <c r="F93" s="79"/>
      <c r="G93" s="79"/>
      <c r="H93" s="79"/>
      <c r="I93" s="35"/>
      <c r="J93" s="27"/>
      <c r="K93" s="100"/>
      <c r="L93" s="57"/>
      <c r="M93" s="32"/>
      <c r="N93" s="31">
        <f t="shared" si="16"/>
        <v>0</v>
      </c>
      <c r="O93" s="36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1:28" ht="19.95" hidden="1" customHeight="1">
      <c r="A94" s="22">
        <v>200</v>
      </c>
      <c r="B94" s="55" t="s">
        <v>227</v>
      </c>
      <c r="C94" s="55">
        <v>244</v>
      </c>
      <c r="D94" s="55">
        <v>111</v>
      </c>
      <c r="E94" s="72" t="s">
        <v>228</v>
      </c>
      <c r="F94" s="79"/>
      <c r="G94" s="79"/>
      <c r="H94" s="79"/>
      <c r="I94" s="35"/>
      <c r="J94" s="27"/>
      <c r="K94" s="100"/>
      <c r="L94" s="57"/>
      <c r="M94" s="32"/>
      <c r="N94" s="31">
        <f t="shared" si="16"/>
        <v>0</v>
      </c>
      <c r="O94" s="36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28" ht="23.4" hidden="1" customHeight="1">
      <c r="A95" s="22">
        <v>203</v>
      </c>
      <c r="B95" s="55" t="s">
        <v>261</v>
      </c>
      <c r="C95" s="55">
        <v>244</v>
      </c>
      <c r="D95" s="55">
        <v>112</v>
      </c>
      <c r="E95" s="72" t="s">
        <v>262</v>
      </c>
      <c r="F95" s="79"/>
      <c r="G95" s="79"/>
      <c r="H95" s="79"/>
      <c r="I95" s="35"/>
      <c r="J95" s="27"/>
      <c r="K95" s="100"/>
      <c r="L95" s="57"/>
      <c r="M95" s="32"/>
      <c r="N95" s="31">
        <f t="shared" si="16"/>
        <v>0</v>
      </c>
      <c r="O95" s="36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1:28" ht="19.2" hidden="1" customHeight="1">
      <c r="A96" s="22">
        <v>42</v>
      </c>
      <c r="B96" s="55" t="s">
        <v>227</v>
      </c>
      <c r="C96" s="55">
        <v>244</v>
      </c>
      <c r="D96" s="55">
        <v>111</v>
      </c>
      <c r="E96" s="72" t="s">
        <v>260</v>
      </c>
      <c r="F96" s="79"/>
      <c r="G96" s="79"/>
      <c r="H96" s="79"/>
      <c r="I96" s="35"/>
      <c r="J96" s="27"/>
      <c r="K96" s="100"/>
      <c r="L96" s="57"/>
      <c r="M96" s="32"/>
      <c r="N96" s="31">
        <f t="shared" si="16"/>
        <v>0</v>
      </c>
      <c r="O96" s="36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1:28" ht="19.2" hidden="1" customHeight="1">
      <c r="A97" s="22"/>
      <c r="B97" s="55" t="s">
        <v>273</v>
      </c>
      <c r="C97" s="55">
        <v>244</v>
      </c>
      <c r="D97" s="55">
        <v>132</v>
      </c>
      <c r="E97" s="72" t="s">
        <v>274</v>
      </c>
      <c r="F97" s="79"/>
      <c r="G97" s="79"/>
      <c r="H97" s="79"/>
      <c r="I97" s="35"/>
      <c r="J97" s="27"/>
      <c r="K97" s="100"/>
      <c r="L97" s="57"/>
      <c r="M97" s="32"/>
      <c r="N97" s="31">
        <f t="shared" si="16"/>
        <v>0</v>
      </c>
      <c r="O97" s="36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1:28" ht="24.6" hidden="1" customHeight="1">
      <c r="A98" s="22">
        <v>45</v>
      </c>
      <c r="B98" s="55" t="s">
        <v>176</v>
      </c>
      <c r="C98" s="55">
        <v>244</v>
      </c>
      <c r="D98" s="55"/>
      <c r="E98" s="72" t="s">
        <v>122</v>
      </c>
      <c r="F98" s="79"/>
      <c r="G98" s="79"/>
      <c r="H98" s="79"/>
      <c r="I98" s="35"/>
      <c r="J98" s="27"/>
      <c r="K98" s="100">
        <f>37960-37960</f>
        <v>0</v>
      </c>
      <c r="L98" s="57"/>
      <c r="M98" s="32"/>
      <c r="N98" s="31">
        <f t="shared" si="16"/>
        <v>0</v>
      </c>
      <c r="O98" s="36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28" ht="13.95" hidden="1" customHeight="1">
      <c r="A99" s="22"/>
      <c r="B99" s="22" t="s">
        <v>227</v>
      </c>
      <c r="C99" s="162">
        <v>244</v>
      </c>
      <c r="D99" s="22"/>
      <c r="E99" s="22" t="s">
        <v>228</v>
      </c>
      <c r="F99" s="79"/>
      <c r="G99" s="79"/>
      <c r="H99" s="79"/>
      <c r="I99" s="35"/>
      <c r="J99" s="27"/>
      <c r="K99" s="165"/>
      <c r="L99" s="57"/>
      <c r="M99" s="32"/>
      <c r="N99" s="31">
        <f t="shared" si="16"/>
        <v>0</v>
      </c>
      <c r="O99" s="36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</row>
    <row r="100" spans="1:28" ht="25.95" hidden="1" customHeight="1">
      <c r="A100" s="22"/>
      <c r="B100" s="82"/>
      <c r="C100" s="82"/>
      <c r="D100" s="82"/>
      <c r="E100" s="72" t="s">
        <v>55</v>
      </c>
      <c r="F100" s="79"/>
      <c r="G100" s="79"/>
      <c r="H100" s="79"/>
      <c r="I100" s="61"/>
      <c r="J100" s="27"/>
      <c r="K100" s="28"/>
      <c r="L100" s="57"/>
      <c r="M100" s="36"/>
      <c r="N100" s="85">
        <f>(K100-M100)</f>
        <v>0</v>
      </c>
      <c r="O100" s="36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1:28" ht="17.399999999999999" customHeight="1">
      <c r="A101" s="22"/>
      <c r="B101" s="42"/>
      <c r="C101" s="42"/>
      <c r="D101" s="42">
        <v>290</v>
      </c>
      <c r="E101" s="83" t="s">
        <v>20</v>
      </c>
      <c r="F101" s="44">
        <f>SUM(F102:F109)</f>
        <v>2421</v>
      </c>
      <c r="G101" s="44">
        <f>SUM(G102:G109)</f>
        <v>2157</v>
      </c>
      <c r="H101" s="44">
        <f>SUM(H102:H109)</f>
        <v>1854.26</v>
      </c>
      <c r="I101" s="45"/>
      <c r="J101" s="46">
        <f t="shared" ref="J101" si="23">SUM(J102:J109)</f>
        <v>3166</v>
      </c>
      <c r="K101" s="129">
        <f>SUM(K102:K110)</f>
        <v>998800</v>
      </c>
      <c r="L101" s="130">
        <f>SUM(L102:L110)</f>
        <v>0</v>
      </c>
      <c r="M101" s="130">
        <f>SUM(M102:M110)</f>
        <v>2189.44</v>
      </c>
      <c r="N101" s="130">
        <f t="shared" ref="N101:O101" si="24">SUM(N102:N110)</f>
        <v>996610.56000000006</v>
      </c>
      <c r="O101" s="130">
        <f t="shared" si="24"/>
        <v>0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1:28" ht="18.75" customHeight="1">
      <c r="A102" s="22"/>
      <c r="B102" s="82"/>
      <c r="C102" s="55">
        <v>851</v>
      </c>
      <c r="D102" s="82"/>
      <c r="E102" s="72" t="s">
        <v>63</v>
      </c>
      <c r="F102" s="22">
        <v>240</v>
      </c>
      <c r="G102" s="22">
        <v>0.3</v>
      </c>
      <c r="H102" s="22">
        <v>0.26</v>
      </c>
      <c r="I102" s="35"/>
      <c r="J102" s="27">
        <f>F102*1</f>
        <v>240</v>
      </c>
      <c r="K102" s="100">
        <v>150200</v>
      </c>
      <c r="L102" s="57"/>
      <c r="M102" s="32"/>
      <c r="N102" s="31">
        <f t="shared" ref="N102:N110" si="25">(K102-M102)</f>
        <v>150200</v>
      </c>
      <c r="O102" s="36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ht="19.2" customHeight="1">
      <c r="A103" s="22"/>
      <c r="B103" s="82"/>
      <c r="C103" s="55">
        <v>852</v>
      </c>
      <c r="D103" s="82"/>
      <c r="E103" s="72" t="s">
        <v>94</v>
      </c>
      <c r="F103" s="22">
        <v>2065</v>
      </c>
      <c r="G103" s="22">
        <v>2065</v>
      </c>
      <c r="H103" s="22">
        <v>1785</v>
      </c>
      <c r="I103" s="35"/>
      <c r="J103" s="27">
        <v>2700</v>
      </c>
      <c r="K103" s="100">
        <v>39600</v>
      </c>
      <c r="L103" s="57"/>
      <c r="M103" s="32"/>
      <c r="N103" s="31">
        <f t="shared" si="25"/>
        <v>39600</v>
      </c>
      <c r="O103" s="36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28" ht="19.2" customHeight="1">
      <c r="A104" s="22"/>
      <c r="B104" s="82"/>
      <c r="C104" s="55">
        <v>851</v>
      </c>
      <c r="D104" s="82"/>
      <c r="E104" s="72" t="s">
        <v>95</v>
      </c>
      <c r="F104" s="22"/>
      <c r="G104" s="22"/>
      <c r="H104" s="22"/>
      <c r="I104" s="35"/>
      <c r="J104" s="27"/>
      <c r="K104" s="100">
        <v>132000</v>
      </c>
      <c r="L104" s="57"/>
      <c r="M104" s="32"/>
      <c r="N104" s="31">
        <f t="shared" si="25"/>
        <v>132000</v>
      </c>
      <c r="O104" s="36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ht="24" customHeight="1">
      <c r="A105" s="22"/>
      <c r="B105" s="82"/>
      <c r="C105" s="55">
        <v>852</v>
      </c>
      <c r="D105" s="82"/>
      <c r="E105" s="72" t="s">
        <v>56</v>
      </c>
      <c r="F105" s="22"/>
      <c r="G105" s="22"/>
      <c r="H105" s="22"/>
      <c r="I105" s="35"/>
      <c r="J105" s="27"/>
      <c r="K105" s="100">
        <v>9000</v>
      </c>
      <c r="L105" s="57"/>
      <c r="M105" s="32">
        <v>189.44</v>
      </c>
      <c r="N105" s="31">
        <f t="shared" si="25"/>
        <v>8810.56</v>
      </c>
      <c r="O105" s="36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</row>
    <row r="106" spans="1:28" ht="21.6" customHeight="1">
      <c r="A106" s="22"/>
      <c r="B106" s="82"/>
      <c r="C106" s="55">
        <v>831</v>
      </c>
      <c r="D106" s="82"/>
      <c r="E106" s="72" t="s">
        <v>7</v>
      </c>
      <c r="F106" s="22">
        <v>1</v>
      </c>
      <c r="G106" s="22">
        <v>41</v>
      </c>
      <c r="H106" s="22">
        <v>20</v>
      </c>
      <c r="I106" s="35"/>
      <c r="J106" s="27">
        <f>F106*1</f>
        <v>1</v>
      </c>
      <c r="K106" s="100">
        <v>500000</v>
      </c>
      <c r="L106" s="57"/>
      <c r="M106" s="32"/>
      <c r="N106" s="31">
        <f t="shared" si="25"/>
        <v>500000</v>
      </c>
      <c r="O106" s="36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ht="22.2" customHeight="1">
      <c r="A107" s="22"/>
      <c r="B107" s="82"/>
      <c r="C107" s="55">
        <v>831</v>
      </c>
      <c r="D107" s="82"/>
      <c r="E107" s="72" t="s">
        <v>137</v>
      </c>
      <c r="F107" s="22">
        <v>80</v>
      </c>
      <c r="G107" s="22">
        <v>36.700000000000003</v>
      </c>
      <c r="H107" s="22">
        <v>36.6</v>
      </c>
      <c r="I107" s="35"/>
      <c r="J107" s="27">
        <v>150</v>
      </c>
      <c r="K107" s="100">
        <v>100000</v>
      </c>
      <c r="L107" s="57"/>
      <c r="M107" s="32"/>
      <c r="N107" s="31">
        <f t="shared" si="25"/>
        <v>100000</v>
      </c>
      <c r="O107" s="36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1:28" ht="39.6" customHeight="1">
      <c r="A108" s="22"/>
      <c r="B108" s="82"/>
      <c r="C108" s="55">
        <v>852</v>
      </c>
      <c r="D108" s="82"/>
      <c r="E108" s="72" t="s">
        <v>38</v>
      </c>
      <c r="F108" s="22">
        <v>29</v>
      </c>
      <c r="G108" s="22">
        <v>9</v>
      </c>
      <c r="H108" s="22">
        <v>8.9</v>
      </c>
      <c r="I108" s="35"/>
      <c r="J108" s="27">
        <v>69</v>
      </c>
      <c r="K108" s="100">
        <v>62000</v>
      </c>
      <c r="L108" s="57"/>
      <c r="M108" s="32">
        <v>2000</v>
      </c>
      <c r="N108" s="31">
        <f t="shared" si="25"/>
        <v>60000</v>
      </c>
      <c r="O108" s="36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1:28" ht="21" customHeight="1">
      <c r="A109" s="22">
        <v>46</v>
      </c>
      <c r="B109" s="68" t="s">
        <v>177</v>
      </c>
      <c r="C109" s="55">
        <v>244</v>
      </c>
      <c r="D109" s="68"/>
      <c r="E109" s="72" t="s">
        <v>101</v>
      </c>
      <c r="F109" s="79">
        <v>6</v>
      </c>
      <c r="G109" s="79">
        <v>5</v>
      </c>
      <c r="H109" s="79">
        <v>3.5</v>
      </c>
      <c r="I109" s="35"/>
      <c r="J109" s="27">
        <f>F109*1</f>
        <v>6</v>
      </c>
      <c r="K109" s="100">
        <v>2000</v>
      </c>
      <c r="L109" s="57"/>
      <c r="M109" s="32"/>
      <c r="N109" s="31">
        <f t="shared" si="25"/>
        <v>2000</v>
      </c>
      <c r="O109" s="36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</row>
    <row r="110" spans="1:28" ht="21" customHeight="1">
      <c r="A110" s="22">
        <v>47</v>
      </c>
      <c r="B110" s="68" t="s">
        <v>178</v>
      </c>
      <c r="C110" s="55">
        <v>244</v>
      </c>
      <c r="D110" s="68"/>
      <c r="E110" s="72" t="s">
        <v>102</v>
      </c>
      <c r="F110" s="79"/>
      <c r="G110" s="79"/>
      <c r="H110" s="79"/>
      <c r="I110" s="61"/>
      <c r="J110" s="123"/>
      <c r="K110" s="100">
        <f>2200+1800</f>
        <v>4000</v>
      </c>
      <c r="L110" s="57"/>
      <c r="M110" s="32"/>
      <c r="N110" s="124">
        <f t="shared" si="25"/>
        <v>4000</v>
      </c>
      <c r="O110" s="125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1:28" ht="21.6" customHeight="1">
      <c r="A111" s="22"/>
      <c r="B111" s="42"/>
      <c r="C111" s="42"/>
      <c r="D111" s="42">
        <v>300</v>
      </c>
      <c r="E111" s="83" t="s">
        <v>21</v>
      </c>
      <c r="F111" s="44">
        <f>F112+F116+F117</f>
        <v>2506.6999999999998</v>
      </c>
      <c r="G111" s="44">
        <f>G112+G116+G117</f>
        <v>2187.8000000000002</v>
      </c>
      <c r="H111" s="44">
        <f>H112+H116+H117</f>
        <v>1885.7200000000003</v>
      </c>
      <c r="I111" s="45"/>
      <c r="J111" s="86">
        <f>J112+J116+J117</f>
        <v>2506.6999999999998</v>
      </c>
      <c r="K111" s="129">
        <f>K112+K116+K117+K115</f>
        <v>6070100</v>
      </c>
      <c r="L111" s="130">
        <f t="shared" ref="L111:M111" si="26">L112+L116+L117</f>
        <v>0</v>
      </c>
      <c r="M111" s="131">
        <f t="shared" si="26"/>
        <v>1804</v>
      </c>
      <c r="N111" s="132">
        <f>N112+N116+N117+N115</f>
        <v>6068296</v>
      </c>
      <c r="O111" s="133">
        <f>O112+O116+O117+O115</f>
        <v>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</row>
    <row r="112" spans="1:28" ht="20.399999999999999" customHeight="1">
      <c r="A112" s="22"/>
      <c r="B112" s="142"/>
      <c r="C112" s="142"/>
      <c r="D112" s="142">
        <v>310</v>
      </c>
      <c r="E112" s="143" t="s">
        <v>22</v>
      </c>
      <c r="F112" s="64">
        <f>SUM(F113:F114)</f>
        <v>989</v>
      </c>
      <c r="G112" s="64">
        <f>SUM(G113:G114)</f>
        <v>896</v>
      </c>
      <c r="H112" s="64">
        <f>SUM(H113:H114)</f>
        <v>774.3</v>
      </c>
      <c r="I112" s="65"/>
      <c r="J112" s="51">
        <f t="shared" ref="J112:L112" si="27">SUM(J113:J114)</f>
        <v>989</v>
      </c>
      <c r="K112" s="54">
        <f t="shared" si="27"/>
        <v>3440000</v>
      </c>
      <c r="L112" s="52">
        <f t="shared" si="27"/>
        <v>0</v>
      </c>
      <c r="M112" s="88">
        <f>SUM(M113:M114)</f>
        <v>0</v>
      </c>
      <c r="N112" s="89">
        <f>SUM(N113:N114)</f>
        <v>3440000</v>
      </c>
      <c r="O112" s="90">
        <f>SUM(O113:O114)</f>
        <v>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ht="29.4" customHeight="1">
      <c r="A113" s="5"/>
      <c r="B113" s="173"/>
      <c r="C113" s="55">
        <v>244</v>
      </c>
      <c r="D113" s="82"/>
      <c r="E113" s="5" t="s">
        <v>29</v>
      </c>
      <c r="F113" s="22">
        <v>989</v>
      </c>
      <c r="G113" s="22">
        <v>896</v>
      </c>
      <c r="H113" s="22">
        <v>774.3</v>
      </c>
      <c r="I113" s="35"/>
      <c r="J113" s="27">
        <f>F113*1</f>
        <v>989</v>
      </c>
      <c r="K113" s="100">
        <v>3440000</v>
      </c>
      <c r="L113" s="76"/>
      <c r="M113" s="32"/>
      <c r="N113" s="31">
        <f>(K113-M113)</f>
        <v>3440000</v>
      </c>
      <c r="O113" s="36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ht="10.95" hidden="1" customHeight="1">
      <c r="A114" s="22"/>
      <c r="B114" s="82"/>
      <c r="C114" s="82"/>
      <c r="D114" s="82"/>
      <c r="E114" s="91" t="s">
        <v>23</v>
      </c>
      <c r="F114" s="39"/>
      <c r="G114" s="39"/>
      <c r="H114" s="39"/>
      <c r="I114" s="35"/>
      <c r="J114" s="27">
        <f>F114*1</f>
        <v>0</v>
      </c>
      <c r="K114" s="73"/>
      <c r="L114" s="71"/>
      <c r="M114" s="32"/>
      <c r="N114" s="31"/>
      <c r="O114" s="3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</row>
    <row r="115" spans="1:28" ht="14.4" hidden="1" customHeight="1">
      <c r="A115" s="22"/>
      <c r="B115" s="82"/>
      <c r="C115" s="82"/>
      <c r="D115" s="82"/>
      <c r="E115" s="87" t="s">
        <v>45</v>
      </c>
      <c r="F115" s="39"/>
      <c r="G115" s="39"/>
      <c r="H115" s="39"/>
      <c r="I115" s="35"/>
      <c r="J115" s="27"/>
      <c r="K115" s="73"/>
      <c r="L115" s="71">
        <v>0</v>
      </c>
      <c r="M115" s="32"/>
      <c r="N115" s="31"/>
      <c r="O115" s="3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ht="13.95" hidden="1" customHeight="1">
      <c r="A116" s="22"/>
      <c r="B116" s="47">
        <v>320</v>
      </c>
      <c r="C116" s="47"/>
      <c r="D116" s="47"/>
      <c r="E116" s="92" t="s">
        <v>24</v>
      </c>
      <c r="F116" s="49"/>
      <c r="G116" s="49"/>
      <c r="H116" s="49"/>
      <c r="I116" s="35"/>
      <c r="J116" s="27">
        <f>F116*1</f>
        <v>0</v>
      </c>
      <c r="K116" s="73"/>
      <c r="L116" s="71"/>
      <c r="M116" s="32"/>
      <c r="N116" s="31"/>
      <c r="O116" s="3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28" ht="21" customHeight="1">
      <c r="A117" s="22"/>
      <c r="B117" s="142"/>
      <c r="C117" s="142"/>
      <c r="D117" s="142">
        <v>340</v>
      </c>
      <c r="E117" s="144" t="s">
        <v>25</v>
      </c>
      <c r="F117" s="64">
        <f>SUM(F118:F152)</f>
        <v>1517.6999999999998</v>
      </c>
      <c r="G117" s="64">
        <f>SUM(G118:G152)</f>
        <v>1291.8</v>
      </c>
      <c r="H117" s="64">
        <f>SUM(H118:H152)</f>
        <v>1111.4200000000003</v>
      </c>
      <c r="I117" s="65"/>
      <c r="J117" s="51">
        <f t="shared" ref="J117:O117" si="28">SUM(J118:J152)</f>
        <v>1517.6999999999998</v>
      </c>
      <c r="K117" s="54">
        <f t="shared" si="28"/>
        <v>2630100</v>
      </c>
      <c r="L117" s="52">
        <f t="shared" si="28"/>
        <v>0</v>
      </c>
      <c r="M117" s="52">
        <f>SUM(M118:M152)</f>
        <v>1804</v>
      </c>
      <c r="N117" s="121">
        <f t="shared" si="28"/>
        <v>2628296</v>
      </c>
      <c r="O117" s="52">
        <f t="shared" si="28"/>
        <v>0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ht="18" customHeight="1">
      <c r="A118" s="22">
        <v>68</v>
      </c>
      <c r="B118" s="55" t="s">
        <v>179</v>
      </c>
      <c r="C118" s="55">
        <v>244</v>
      </c>
      <c r="D118" s="55"/>
      <c r="E118" s="72" t="s">
        <v>109</v>
      </c>
      <c r="F118" s="34">
        <v>778</v>
      </c>
      <c r="G118" s="34">
        <v>633</v>
      </c>
      <c r="H118" s="34">
        <v>546.70000000000005</v>
      </c>
      <c r="I118" s="35"/>
      <c r="J118" s="27">
        <f>F118*1</f>
        <v>778</v>
      </c>
      <c r="K118" s="100">
        <v>1200000</v>
      </c>
      <c r="L118" s="57"/>
      <c r="M118" s="32"/>
      <c r="N118" s="58">
        <f t="shared" ref="N118:N152" si="29">(K118-M118)</f>
        <v>1200000</v>
      </c>
      <c r="O118" s="3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</row>
    <row r="119" spans="1:28" ht="19.2" customHeight="1">
      <c r="A119" s="22">
        <v>69</v>
      </c>
      <c r="B119" s="55" t="s">
        <v>180</v>
      </c>
      <c r="C119" s="55">
        <v>244</v>
      </c>
      <c r="D119" s="55"/>
      <c r="E119" s="72" t="s">
        <v>42</v>
      </c>
      <c r="F119" s="34"/>
      <c r="G119" s="34"/>
      <c r="H119" s="34"/>
      <c r="I119" s="35"/>
      <c r="J119" s="27"/>
      <c r="K119" s="100">
        <v>68000</v>
      </c>
      <c r="L119" s="57"/>
      <c r="M119" s="32"/>
      <c r="N119" s="56">
        <f t="shared" si="29"/>
        <v>68000</v>
      </c>
      <c r="O119" s="3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ht="22.5" customHeight="1">
      <c r="A120" s="22">
        <v>70</v>
      </c>
      <c r="B120" s="55" t="s">
        <v>181</v>
      </c>
      <c r="C120" s="55">
        <v>244</v>
      </c>
      <c r="D120" s="55"/>
      <c r="E120" s="72" t="s">
        <v>114</v>
      </c>
      <c r="F120" s="34"/>
      <c r="G120" s="34"/>
      <c r="H120" s="34"/>
      <c r="I120" s="35"/>
      <c r="J120" s="27"/>
      <c r="K120" s="100">
        <v>8000</v>
      </c>
      <c r="L120" s="57"/>
      <c r="M120" s="32"/>
      <c r="N120" s="56">
        <f t="shared" si="29"/>
        <v>8000</v>
      </c>
      <c r="O120" s="3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</row>
    <row r="121" spans="1:28" ht="29.4" customHeight="1">
      <c r="A121" s="93" t="s">
        <v>182</v>
      </c>
      <c r="B121" s="55" t="s">
        <v>183</v>
      </c>
      <c r="C121" s="55">
        <v>244</v>
      </c>
      <c r="D121" s="55"/>
      <c r="E121" s="72" t="s">
        <v>115</v>
      </c>
      <c r="F121" s="34">
        <v>41.5</v>
      </c>
      <c r="G121" s="29">
        <v>27.59</v>
      </c>
      <c r="H121" s="29">
        <v>10.45</v>
      </c>
      <c r="I121" s="35"/>
      <c r="J121" s="27">
        <f>F121*1</f>
        <v>41.5</v>
      </c>
      <c r="K121" s="100">
        <f>31000+13000</f>
        <v>44000</v>
      </c>
      <c r="L121" s="57"/>
      <c r="M121" s="32"/>
      <c r="N121" s="56">
        <f t="shared" si="29"/>
        <v>44000</v>
      </c>
      <c r="O121" s="3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ht="28.95" customHeight="1">
      <c r="A122" s="93" t="s">
        <v>182</v>
      </c>
      <c r="B122" s="55" t="s">
        <v>184</v>
      </c>
      <c r="C122" s="55">
        <v>244</v>
      </c>
      <c r="D122" s="55"/>
      <c r="E122" s="72" t="s">
        <v>116</v>
      </c>
      <c r="F122" s="34"/>
      <c r="G122" s="29"/>
      <c r="H122" s="29"/>
      <c r="I122" s="35"/>
      <c r="J122" s="27"/>
      <c r="K122" s="100">
        <f>21700+10000</f>
        <v>31700</v>
      </c>
      <c r="L122" s="57"/>
      <c r="M122" s="32"/>
      <c r="N122" s="56">
        <f t="shared" si="29"/>
        <v>31700</v>
      </c>
      <c r="O122" s="3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</row>
    <row r="123" spans="1:28" ht="18" hidden="1" customHeight="1">
      <c r="A123" s="22">
        <v>39</v>
      </c>
      <c r="B123" s="55">
        <v>2101031</v>
      </c>
      <c r="C123" s="55">
        <v>244</v>
      </c>
      <c r="D123" s="55"/>
      <c r="E123" s="72" t="s">
        <v>43</v>
      </c>
      <c r="F123" s="34">
        <v>58.4</v>
      </c>
      <c r="G123" s="34">
        <v>57.1</v>
      </c>
      <c r="H123" s="34">
        <v>29.7</v>
      </c>
      <c r="I123" s="35"/>
      <c r="J123" s="27">
        <f>F123*1</f>
        <v>58.4</v>
      </c>
      <c r="K123" s="100"/>
      <c r="L123" s="57"/>
      <c r="M123" s="32"/>
      <c r="N123" s="56">
        <f t="shared" si="29"/>
        <v>0</v>
      </c>
      <c r="O123" s="3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ht="19.95" customHeight="1">
      <c r="A124" s="22">
        <v>73</v>
      </c>
      <c r="B124" s="55" t="s">
        <v>186</v>
      </c>
      <c r="C124" s="55">
        <v>244</v>
      </c>
      <c r="D124" s="55"/>
      <c r="E124" s="72" t="s">
        <v>185</v>
      </c>
      <c r="F124" s="34"/>
      <c r="G124" s="34"/>
      <c r="H124" s="34"/>
      <c r="I124" s="35"/>
      <c r="J124" s="27"/>
      <c r="K124" s="100">
        <v>140000</v>
      </c>
      <c r="L124" s="57"/>
      <c r="M124" s="32"/>
      <c r="N124" s="56">
        <f t="shared" si="29"/>
        <v>140000</v>
      </c>
      <c r="O124" s="3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</row>
    <row r="125" spans="1:28" ht="19.2" customHeight="1">
      <c r="A125" s="5">
        <v>74</v>
      </c>
      <c r="B125" s="127" t="s">
        <v>187</v>
      </c>
      <c r="C125" s="55">
        <v>244</v>
      </c>
      <c r="D125" s="127"/>
      <c r="E125" s="72" t="s">
        <v>125</v>
      </c>
      <c r="F125" s="34">
        <v>188</v>
      </c>
      <c r="G125" s="34">
        <v>169.1</v>
      </c>
      <c r="H125" s="34">
        <v>167.7</v>
      </c>
      <c r="I125" s="35"/>
      <c r="J125" s="27">
        <f>F125*1</f>
        <v>188</v>
      </c>
      <c r="K125" s="100">
        <v>268000</v>
      </c>
      <c r="L125" s="57"/>
      <c r="M125" s="32">
        <v>1804</v>
      </c>
      <c r="N125" s="56">
        <f t="shared" si="29"/>
        <v>266196</v>
      </c>
      <c r="O125" s="3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</row>
    <row r="126" spans="1:28" ht="19.2" customHeight="1">
      <c r="A126" s="5">
        <v>75</v>
      </c>
      <c r="B126" s="127" t="s">
        <v>188</v>
      </c>
      <c r="C126" s="55">
        <v>244</v>
      </c>
      <c r="D126" s="127"/>
      <c r="E126" s="72" t="s">
        <v>123</v>
      </c>
      <c r="F126" s="34"/>
      <c r="G126" s="34"/>
      <c r="H126" s="34"/>
      <c r="I126" s="35"/>
      <c r="J126" s="27"/>
      <c r="K126" s="100">
        <v>44000</v>
      </c>
      <c r="L126" s="57"/>
      <c r="M126" s="32"/>
      <c r="N126" s="56">
        <f t="shared" si="29"/>
        <v>44000</v>
      </c>
      <c r="O126" s="3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</row>
    <row r="127" spans="1:28" ht="20.399999999999999" customHeight="1">
      <c r="A127" s="5">
        <v>76</v>
      </c>
      <c r="B127" s="94" t="s">
        <v>189</v>
      </c>
      <c r="C127" s="55">
        <v>244</v>
      </c>
      <c r="D127" s="94"/>
      <c r="E127" s="72" t="s">
        <v>73</v>
      </c>
      <c r="F127" s="34">
        <v>188</v>
      </c>
      <c r="G127" s="34">
        <v>169.1</v>
      </c>
      <c r="H127" s="34">
        <v>167.7</v>
      </c>
      <c r="I127" s="35"/>
      <c r="J127" s="27">
        <f>F127*1</f>
        <v>188</v>
      </c>
      <c r="K127" s="100">
        <v>18600</v>
      </c>
      <c r="L127" s="57"/>
      <c r="M127" s="32"/>
      <c r="N127" s="56">
        <f t="shared" si="29"/>
        <v>18600</v>
      </c>
      <c r="O127" s="3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</row>
    <row r="128" spans="1:28" ht="20.399999999999999" customHeight="1">
      <c r="A128" s="5">
        <v>77</v>
      </c>
      <c r="B128" s="94" t="s">
        <v>190</v>
      </c>
      <c r="C128" s="55">
        <v>244</v>
      </c>
      <c r="D128" s="94"/>
      <c r="E128" s="72" t="s">
        <v>118</v>
      </c>
      <c r="F128" s="34"/>
      <c r="G128" s="34"/>
      <c r="H128" s="34"/>
      <c r="I128" s="35"/>
      <c r="J128" s="27"/>
      <c r="K128" s="100">
        <v>10000</v>
      </c>
      <c r="L128" s="57"/>
      <c r="M128" s="32"/>
      <c r="N128" s="56">
        <f t="shared" si="29"/>
        <v>10000</v>
      </c>
      <c r="O128" s="3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</row>
    <row r="129" spans="1:28" ht="43.95" customHeight="1">
      <c r="A129" s="22">
        <v>78</v>
      </c>
      <c r="B129" s="94" t="s">
        <v>191</v>
      </c>
      <c r="C129" s="55">
        <v>244</v>
      </c>
      <c r="D129" s="94"/>
      <c r="E129" s="72" t="s">
        <v>131</v>
      </c>
      <c r="F129" s="34">
        <v>9.3000000000000007</v>
      </c>
      <c r="G129" s="29">
        <v>13.59</v>
      </c>
      <c r="H129" s="29">
        <v>13.59</v>
      </c>
      <c r="I129" s="35"/>
      <c r="J129" s="27">
        <f>F129*1</f>
        <v>9.3000000000000007</v>
      </c>
      <c r="K129" s="100">
        <v>411900</v>
      </c>
      <c r="L129" s="57"/>
      <c r="M129" s="32"/>
      <c r="N129" s="31">
        <f t="shared" si="29"/>
        <v>411900</v>
      </c>
      <c r="O129" s="3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</row>
    <row r="130" spans="1:28" ht="31.2" customHeight="1">
      <c r="A130" s="22">
        <v>79</v>
      </c>
      <c r="B130" s="94" t="s">
        <v>192</v>
      </c>
      <c r="C130" s="55">
        <v>244</v>
      </c>
      <c r="D130" s="94"/>
      <c r="E130" s="72" t="s">
        <v>193</v>
      </c>
      <c r="F130" s="34"/>
      <c r="G130" s="29"/>
      <c r="H130" s="29"/>
      <c r="I130" s="35"/>
      <c r="J130" s="27"/>
      <c r="K130" s="100">
        <v>9000</v>
      </c>
      <c r="L130" s="57"/>
      <c r="M130" s="32"/>
      <c r="N130" s="31">
        <f t="shared" si="29"/>
        <v>9000</v>
      </c>
      <c r="O130" s="3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  <row r="131" spans="1:28" ht="19.2" customHeight="1">
      <c r="A131" s="22">
        <v>80</v>
      </c>
      <c r="B131" s="94" t="s">
        <v>194</v>
      </c>
      <c r="C131" s="55">
        <v>244</v>
      </c>
      <c r="D131" s="94"/>
      <c r="E131" s="72" t="s">
        <v>132</v>
      </c>
      <c r="F131" s="34"/>
      <c r="G131" s="29"/>
      <c r="H131" s="29"/>
      <c r="I131" s="35"/>
      <c r="J131" s="27"/>
      <c r="K131" s="100">
        <v>1600</v>
      </c>
      <c r="L131" s="57"/>
      <c r="M131" s="32"/>
      <c r="N131" s="31">
        <f t="shared" si="29"/>
        <v>1600</v>
      </c>
      <c r="O131" s="3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</row>
    <row r="132" spans="1:28" ht="22.95" customHeight="1">
      <c r="A132" s="22">
        <v>81</v>
      </c>
      <c r="B132" s="94" t="s">
        <v>195</v>
      </c>
      <c r="C132" s="55">
        <v>244</v>
      </c>
      <c r="D132" s="94"/>
      <c r="E132" s="72" t="s">
        <v>110</v>
      </c>
      <c r="F132" s="34"/>
      <c r="G132" s="29"/>
      <c r="H132" s="29"/>
      <c r="I132" s="35"/>
      <c r="J132" s="27"/>
      <c r="K132" s="100">
        <v>13100</v>
      </c>
      <c r="L132" s="57"/>
      <c r="M132" s="32"/>
      <c r="N132" s="31">
        <f t="shared" si="29"/>
        <v>13100</v>
      </c>
      <c r="O132" s="3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</row>
    <row r="133" spans="1:28" ht="30" customHeight="1">
      <c r="A133" s="22">
        <v>82</v>
      </c>
      <c r="B133" s="94" t="s">
        <v>196</v>
      </c>
      <c r="C133" s="55">
        <v>244</v>
      </c>
      <c r="D133" s="94"/>
      <c r="E133" s="72" t="s">
        <v>127</v>
      </c>
      <c r="F133" s="34"/>
      <c r="G133" s="29"/>
      <c r="H133" s="29"/>
      <c r="I133" s="35"/>
      <c r="J133" s="27"/>
      <c r="K133" s="100">
        <v>65000</v>
      </c>
      <c r="L133" s="57"/>
      <c r="M133" s="32"/>
      <c r="N133" s="31">
        <f t="shared" si="29"/>
        <v>65000</v>
      </c>
      <c r="O133" s="3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</row>
    <row r="134" spans="1:28" ht="22.2" customHeight="1">
      <c r="A134" s="5"/>
      <c r="B134" s="95"/>
      <c r="C134" s="55">
        <v>244</v>
      </c>
      <c r="D134" s="95" t="s">
        <v>264</v>
      </c>
      <c r="E134" s="91" t="s">
        <v>23</v>
      </c>
      <c r="F134" s="34">
        <v>28</v>
      </c>
      <c r="G134" s="34">
        <v>7</v>
      </c>
      <c r="H134" s="29">
        <v>4.68</v>
      </c>
      <c r="I134" s="35"/>
      <c r="J134" s="27">
        <f>F134*1</f>
        <v>28</v>
      </c>
      <c r="K134" s="100">
        <v>76700</v>
      </c>
      <c r="L134" s="57"/>
      <c r="M134" s="32"/>
      <c r="N134" s="31">
        <f t="shared" si="29"/>
        <v>76700</v>
      </c>
      <c r="O134" s="3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</row>
    <row r="135" spans="1:28" ht="21.6" customHeight="1">
      <c r="A135" s="22">
        <v>88</v>
      </c>
      <c r="B135" s="94" t="s">
        <v>197</v>
      </c>
      <c r="C135" s="55">
        <v>244</v>
      </c>
      <c r="D135" s="94"/>
      <c r="E135" s="72" t="s">
        <v>304</v>
      </c>
      <c r="F135" s="34">
        <v>1.1000000000000001</v>
      </c>
      <c r="G135" s="34">
        <v>1.1000000000000001</v>
      </c>
      <c r="H135" s="34"/>
      <c r="I135" s="35"/>
      <c r="J135" s="27">
        <f>F135*1</f>
        <v>1.1000000000000001</v>
      </c>
      <c r="K135" s="100">
        <v>8000</v>
      </c>
      <c r="L135" s="57"/>
      <c r="M135" s="32"/>
      <c r="N135" s="31">
        <f t="shared" si="29"/>
        <v>8000</v>
      </c>
      <c r="O135" s="3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</row>
    <row r="136" spans="1:28" ht="15" hidden="1" customHeight="1">
      <c r="A136" s="22">
        <v>89</v>
      </c>
      <c r="B136" s="94" t="s">
        <v>198</v>
      </c>
      <c r="C136" s="55">
        <v>244</v>
      </c>
      <c r="D136" s="94"/>
      <c r="E136" s="72" t="s">
        <v>57</v>
      </c>
      <c r="F136" s="34"/>
      <c r="G136" s="34"/>
      <c r="H136" s="34"/>
      <c r="I136" s="35"/>
      <c r="J136" s="27"/>
      <c r="K136" s="100">
        <f>6000-6000</f>
        <v>0</v>
      </c>
      <c r="L136" s="57"/>
      <c r="M136" s="32"/>
      <c r="N136" s="31">
        <f t="shared" si="29"/>
        <v>0</v>
      </c>
      <c r="O136" s="3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</row>
    <row r="137" spans="1:28" ht="30" customHeight="1">
      <c r="A137" s="22">
        <v>90</v>
      </c>
      <c r="B137" s="94" t="s">
        <v>199</v>
      </c>
      <c r="C137" s="55">
        <v>244</v>
      </c>
      <c r="D137" s="94"/>
      <c r="E137" s="72" t="s">
        <v>200</v>
      </c>
      <c r="F137" s="22">
        <v>65.599999999999994</v>
      </c>
      <c r="G137" s="22">
        <v>46.42</v>
      </c>
      <c r="H137" s="22">
        <v>31.1</v>
      </c>
      <c r="I137" s="35"/>
      <c r="J137" s="27">
        <f>F137*1</f>
        <v>65.599999999999994</v>
      </c>
      <c r="K137" s="100">
        <v>61000</v>
      </c>
      <c r="L137" s="76"/>
      <c r="M137" s="32"/>
      <c r="N137" s="56">
        <f t="shared" si="29"/>
        <v>61000</v>
      </c>
      <c r="O137" s="3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</row>
    <row r="138" spans="1:28" ht="30" customHeight="1">
      <c r="A138" s="22">
        <v>91</v>
      </c>
      <c r="B138" s="94" t="s">
        <v>201</v>
      </c>
      <c r="C138" s="55">
        <v>244</v>
      </c>
      <c r="D138" s="94"/>
      <c r="E138" s="72" t="s">
        <v>103</v>
      </c>
      <c r="F138" s="22"/>
      <c r="G138" s="22"/>
      <c r="H138" s="22"/>
      <c r="I138" s="35"/>
      <c r="J138" s="27"/>
      <c r="K138" s="100">
        <v>25000</v>
      </c>
      <c r="L138" s="76"/>
      <c r="M138" s="32"/>
      <c r="N138" s="56">
        <f t="shared" si="29"/>
        <v>25000</v>
      </c>
      <c r="O138" s="3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ht="38.4" hidden="1" customHeight="1">
      <c r="A139" s="22">
        <v>168</v>
      </c>
      <c r="B139" s="94">
        <v>3697000</v>
      </c>
      <c r="C139" s="55">
        <v>244</v>
      </c>
      <c r="D139" s="94"/>
      <c r="E139" s="72" t="s">
        <v>104</v>
      </c>
      <c r="F139" s="22"/>
      <c r="G139" s="22"/>
      <c r="H139" s="22"/>
      <c r="I139" s="35"/>
      <c r="J139" s="27"/>
      <c r="K139" s="100"/>
      <c r="L139" s="76"/>
      <c r="M139" s="32"/>
      <c r="N139" s="56">
        <f t="shared" si="29"/>
        <v>0</v>
      </c>
      <c r="O139" s="3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ht="22.2" customHeight="1">
      <c r="A140" s="22">
        <v>92</v>
      </c>
      <c r="B140" s="94" t="s">
        <v>202</v>
      </c>
      <c r="C140" s="55">
        <v>244</v>
      </c>
      <c r="D140" s="94"/>
      <c r="E140" s="72" t="s">
        <v>119</v>
      </c>
      <c r="F140" s="22"/>
      <c r="G140" s="22"/>
      <c r="H140" s="22"/>
      <c r="I140" s="35"/>
      <c r="J140" s="27"/>
      <c r="K140" s="100">
        <v>13000</v>
      </c>
      <c r="L140" s="76"/>
      <c r="M140" s="32"/>
      <c r="N140" s="56">
        <f t="shared" si="29"/>
        <v>13000</v>
      </c>
      <c r="O140" s="3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ht="21" customHeight="1">
      <c r="A141" s="22">
        <v>92</v>
      </c>
      <c r="B141" s="94" t="s">
        <v>203</v>
      </c>
      <c r="C141" s="55">
        <v>244</v>
      </c>
      <c r="D141" s="94"/>
      <c r="E141" s="72" t="s">
        <v>120</v>
      </c>
      <c r="F141" s="22"/>
      <c r="G141" s="22"/>
      <c r="H141" s="22"/>
      <c r="I141" s="35"/>
      <c r="J141" s="27"/>
      <c r="K141" s="100">
        <v>6000</v>
      </c>
      <c r="L141" s="76"/>
      <c r="M141" s="32"/>
      <c r="N141" s="56">
        <f t="shared" si="29"/>
        <v>6000</v>
      </c>
      <c r="O141" s="3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ht="22.2" hidden="1" customHeight="1">
      <c r="A142" s="22">
        <v>112</v>
      </c>
      <c r="B142" s="94">
        <v>2691000</v>
      </c>
      <c r="C142" s="94"/>
      <c r="D142" s="94"/>
      <c r="E142" s="72" t="s">
        <v>121</v>
      </c>
      <c r="F142" s="22"/>
      <c r="G142" s="22"/>
      <c r="H142" s="22"/>
      <c r="I142" s="35"/>
      <c r="J142" s="27"/>
      <c r="K142" s="100"/>
      <c r="L142" s="76"/>
      <c r="M142" s="32"/>
      <c r="N142" s="56">
        <f t="shared" si="29"/>
        <v>0</v>
      </c>
      <c r="O142" s="3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28.95" customHeight="1">
      <c r="A143" s="22">
        <v>93</v>
      </c>
      <c r="B143" s="94" t="s">
        <v>204</v>
      </c>
      <c r="C143" s="55">
        <v>244</v>
      </c>
      <c r="D143" s="94"/>
      <c r="E143" s="72" t="s">
        <v>265</v>
      </c>
      <c r="F143" s="22"/>
      <c r="G143" s="22"/>
      <c r="H143" s="22"/>
      <c r="I143" s="35"/>
      <c r="J143" s="27"/>
      <c r="K143" s="100">
        <v>60000</v>
      </c>
      <c r="L143" s="76"/>
      <c r="M143" s="32"/>
      <c r="N143" s="56">
        <f t="shared" si="29"/>
        <v>60000</v>
      </c>
      <c r="O143" s="3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</row>
    <row r="144" spans="1:28" ht="19.2" customHeight="1">
      <c r="A144" s="93" t="s">
        <v>205</v>
      </c>
      <c r="B144" s="94" t="s">
        <v>206</v>
      </c>
      <c r="C144" s="55">
        <v>244</v>
      </c>
      <c r="D144" s="94"/>
      <c r="E144" s="72" t="s">
        <v>9</v>
      </c>
      <c r="F144" s="22"/>
      <c r="G144" s="22"/>
      <c r="H144" s="22"/>
      <c r="I144" s="35"/>
      <c r="J144" s="27"/>
      <c r="K144" s="100">
        <v>21000</v>
      </c>
      <c r="L144" s="57"/>
      <c r="M144" s="32"/>
      <c r="N144" s="56">
        <f t="shared" si="29"/>
        <v>21000</v>
      </c>
      <c r="O144" s="3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32" ht="18.75" hidden="1" customHeight="1">
      <c r="A145" s="93" t="s">
        <v>85</v>
      </c>
      <c r="B145" s="94">
        <v>3020000</v>
      </c>
      <c r="C145" s="55">
        <v>244</v>
      </c>
      <c r="D145" s="94"/>
      <c r="E145" s="72" t="s">
        <v>86</v>
      </c>
      <c r="F145" s="22">
        <v>122.6</v>
      </c>
      <c r="G145" s="22">
        <v>134.6</v>
      </c>
      <c r="H145" s="22">
        <v>134.5</v>
      </c>
      <c r="I145" s="35"/>
      <c r="J145" s="27">
        <f t="shared" ref="J145:J152" si="30">F145*1</f>
        <v>122.6</v>
      </c>
      <c r="K145" s="100"/>
      <c r="L145" s="57"/>
      <c r="M145" s="32"/>
      <c r="N145" s="56">
        <f t="shared" si="29"/>
        <v>0</v>
      </c>
      <c r="O145" s="3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32" ht="16.5" hidden="1" customHeight="1">
      <c r="A146" s="22"/>
      <c r="B146" s="94"/>
      <c r="C146" s="55">
        <v>244</v>
      </c>
      <c r="D146" s="94"/>
      <c r="E146" s="72" t="s">
        <v>6</v>
      </c>
      <c r="F146" s="22"/>
      <c r="G146" s="22"/>
      <c r="H146" s="22"/>
      <c r="I146" s="35"/>
      <c r="J146" s="27">
        <f t="shared" si="30"/>
        <v>0</v>
      </c>
      <c r="K146" s="100"/>
      <c r="L146" s="57"/>
      <c r="M146" s="32"/>
      <c r="N146" s="31">
        <f t="shared" si="29"/>
        <v>0</v>
      </c>
      <c r="O146" s="3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32" ht="16.2" customHeight="1">
      <c r="A147" s="22">
        <v>95</v>
      </c>
      <c r="B147" s="94" t="s">
        <v>207</v>
      </c>
      <c r="C147" s="55">
        <v>244</v>
      </c>
      <c r="D147" s="94"/>
      <c r="E147" s="152" t="s">
        <v>133</v>
      </c>
      <c r="F147" s="22">
        <v>26.2</v>
      </c>
      <c r="G147" s="22">
        <v>26.2</v>
      </c>
      <c r="H147" s="22">
        <v>3.6</v>
      </c>
      <c r="I147" s="35"/>
      <c r="J147" s="27">
        <f t="shared" si="30"/>
        <v>26.2</v>
      </c>
      <c r="K147" s="100">
        <v>18000</v>
      </c>
      <c r="L147" s="57"/>
      <c r="M147" s="32"/>
      <c r="N147" s="31">
        <f t="shared" si="29"/>
        <v>18000</v>
      </c>
      <c r="O147" s="3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</row>
    <row r="148" spans="1:32" ht="14.4" hidden="1" customHeight="1">
      <c r="A148" s="22"/>
      <c r="B148" s="94"/>
      <c r="C148" s="55">
        <v>244</v>
      </c>
      <c r="D148" s="94"/>
      <c r="E148" s="72" t="s">
        <v>26</v>
      </c>
      <c r="F148" s="22"/>
      <c r="G148" s="22"/>
      <c r="H148" s="22"/>
      <c r="I148" s="35"/>
      <c r="J148" s="27">
        <f t="shared" si="30"/>
        <v>0</v>
      </c>
      <c r="K148" s="100"/>
      <c r="L148" s="71"/>
      <c r="M148" s="32"/>
      <c r="N148" s="31">
        <f t="shared" si="29"/>
        <v>0</v>
      </c>
      <c r="O148" s="3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32" ht="12.6" hidden="1" customHeight="1">
      <c r="A149" s="22"/>
      <c r="B149" s="94"/>
      <c r="C149" s="55">
        <v>244</v>
      </c>
      <c r="D149" s="94"/>
      <c r="E149" s="72" t="s">
        <v>27</v>
      </c>
      <c r="F149" s="22">
        <v>5</v>
      </c>
      <c r="G149" s="22">
        <v>5</v>
      </c>
      <c r="H149" s="22">
        <v>1.7</v>
      </c>
      <c r="I149" s="35"/>
      <c r="J149" s="27">
        <f t="shared" si="30"/>
        <v>5</v>
      </c>
      <c r="K149" s="100"/>
      <c r="L149" s="57"/>
      <c r="M149" s="32"/>
      <c r="N149" s="31">
        <f t="shared" si="29"/>
        <v>0</v>
      </c>
      <c r="O149" s="3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</row>
    <row r="150" spans="1:32" ht="16.2" hidden="1" customHeight="1">
      <c r="A150" s="22"/>
      <c r="B150" s="94"/>
      <c r="C150" s="55">
        <v>244</v>
      </c>
      <c r="D150" s="94"/>
      <c r="E150" s="72" t="s">
        <v>88</v>
      </c>
      <c r="F150" s="22">
        <v>2.2000000000000002</v>
      </c>
      <c r="G150" s="22">
        <v>0.2</v>
      </c>
      <c r="H150" s="22"/>
      <c r="I150" s="35"/>
      <c r="J150" s="27">
        <f t="shared" si="30"/>
        <v>2.2000000000000002</v>
      </c>
      <c r="K150" s="100"/>
      <c r="L150" s="57"/>
      <c r="M150" s="32"/>
      <c r="N150" s="31">
        <f t="shared" si="29"/>
        <v>0</v>
      </c>
      <c r="O150" s="3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32" ht="18" customHeight="1">
      <c r="A151" s="22">
        <v>96</v>
      </c>
      <c r="B151" s="94" t="s">
        <v>208</v>
      </c>
      <c r="C151" s="55">
        <v>244</v>
      </c>
      <c r="D151" s="94"/>
      <c r="E151" s="72" t="s">
        <v>64</v>
      </c>
      <c r="F151" s="22">
        <v>2.5</v>
      </c>
      <c r="G151" s="22">
        <v>0.5</v>
      </c>
      <c r="H151" s="22"/>
      <c r="I151" s="35"/>
      <c r="J151" s="27">
        <f t="shared" si="30"/>
        <v>2.5</v>
      </c>
      <c r="K151" s="100">
        <v>8000</v>
      </c>
      <c r="L151" s="57"/>
      <c r="M151" s="32"/>
      <c r="N151" s="31">
        <f t="shared" si="29"/>
        <v>8000</v>
      </c>
      <c r="O151" s="3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32" ht="21.6" customHeight="1">
      <c r="A152" s="22">
        <v>97</v>
      </c>
      <c r="B152" s="94" t="s">
        <v>209</v>
      </c>
      <c r="C152" s="55">
        <v>244</v>
      </c>
      <c r="D152" s="94"/>
      <c r="E152" s="72" t="s">
        <v>72</v>
      </c>
      <c r="F152" s="22">
        <v>1.3</v>
      </c>
      <c r="G152" s="22">
        <v>1.3</v>
      </c>
      <c r="H152" s="22"/>
      <c r="I152" s="35"/>
      <c r="J152" s="27">
        <f t="shared" si="30"/>
        <v>1.3</v>
      </c>
      <c r="K152" s="100">
        <v>500</v>
      </c>
      <c r="L152" s="57"/>
      <c r="M152" s="32"/>
      <c r="N152" s="31">
        <f t="shared" si="29"/>
        <v>500</v>
      </c>
      <c r="O152" s="3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32" ht="19.95" customHeight="1">
      <c r="A153" s="22"/>
      <c r="B153" s="164"/>
      <c r="C153" s="163"/>
      <c r="D153" s="163"/>
      <c r="E153" s="186" t="s">
        <v>211</v>
      </c>
      <c r="F153" s="96">
        <f>F111+F101+F12+F7</f>
        <v>23572.5</v>
      </c>
      <c r="G153" s="96">
        <f>G111+G101+G12+G7</f>
        <v>22627.1</v>
      </c>
      <c r="H153" s="96">
        <f>H111+H101+H12+H7</f>
        <v>20087.849999999999</v>
      </c>
      <c r="I153" s="97"/>
      <c r="J153" s="98">
        <f>J111+J101+J12+J7</f>
        <v>26714.1368</v>
      </c>
      <c r="K153" s="154">
        <f>K111+K101+K12+K7</f>
        <v>49235000</v>
      </c>
      <c r="L153" s="155">
        <f>L111+L101+L12+L7</f>
        <v>0</v>
      </c>
      <c r="M153" s="156">
        <f>M111+M101+M12+M7</f>
        <v>1154556.1199999999</v>
      </c>
      <c r="N153" s="156">
        <f t="shared" ref="N153:AB153" si="31">N111+N101+N12+N7</f>
        <v>48003343.880000003</v>
      </c>
      <c r="O153" s="156">
        <v>26162</v>
      </c>
      <c r="P153" s="156">
        <f t="shared" si="31"/>
        <v>0</v>
      </c>
      <c r="Q153" s="156">
        <f t="shared" si="31"/>
        <v>0</v>
      </c>
      <c r="R153" s="156">
        <f t="shared" si="31"/>
        <v>0</v>
      </c>
      <c r="S153" s="156">
        <f t="shared" si="31"/>
        <v>0</v>
      </c>
      <c r="T153" s="156">
        <f t="shared" si="31"/>
        <v>0</v>
      </c>
      <c r="U153" s="156">
        <f t="shared" si="31"/>
        <v>0</v>
      </c>
      <c r="V153" s="156">
        <f t="shared" si="31"/>
        <v>0</v>
      </c>
      <c r="W153" s="156">
        <f t="shared" si="31"/>
        <v>0</v>
      </c>
      <c r="X153" s="156">
        <f t="shared" si="31"/>
        <v>0</v>
      </c>
      <c r="Y153" s="156">
        <f t="shared" si="31"/>
        <v>0</v>
      </c>
      <c r="Z153" s="156">
        <f t="shared" si="31"/>
        <v>0</v>
      </c>
      <c r="AA153" s="156">
        <f t="shared" si="31"/>
        <v>0</v>
      </c>
      <c r="AB153" s="156">
        <f t="shared" si="31"/>
        <v>0</v>
      </c>
      <c r="AD153" s="6"/>
      <c r="AE153" s="116"/>
    </row>
    <row r="154" spans="1:32" ht="21.6" customHeight="1">
      <c r="A154" s="22"/>
      <c r="B154" s="99"/>
      <c r="C154" s="99"/>
      <c r="D154" s="99"/>
      <c r="E154" s="215" t="s">
        <v>106</v>
      </c>
      <c r="F154" s="22">
        <v>1.3</v>
      </c>
      <c r="G154" s="22">
        <v>1.3</v>
      </c>
      <c r="H154" s="22"/>
      <c r="I154" s="35"/>
      <c r="J154" s="27">
        <f>F154*1</f>
        <v>1.3</v>
      </c>
      <c r="K154" s="126"/>
      <c r="L154" s="185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16"/>
      <c r="AD154" s="6"/>
      <c r="AE154" s="116"/>
      <c r="AF154" s="116"/>
    </row>
    <row r="155" spans="1:32" ht="34.200000000000003" customHeight="1">
      <c r="A155" s="22"/>
      <c r="B155" s="148" t="s">
        <v>314</v>
      </c>
      <c r="C155" s="198"/>
      <c r="D155" s="198" t="s">
        <v>241</v>
      </c>
      <c r="E155" s="202" t="s">
        <v>75</v>
      </c>
      <c r="F155" s="175"/>
      <c r="G155" s="175"/>
      <c r="H155" s="175"/>
      <c r="I155" s="176"/>
      <c r="J155" s="177"/>
      <c r="K155" s="100">
        <f>1494316000-125000000</f>
        <v>1369316000</v>
      </c>
      <c r="L155" s="73"/>
      <c r="M155" s="196">
        <v>189847457</v>
      </c>
      <c r="N155" s="100">
        <f t="shared" ref="N155:AA155" si="32">SUM(N156:N168)</f>
        <v>492226010</v>
      </c>
      <c r="O155" s="196">
        <f t="shared" si="32"/>
        <v>0</v>
      </c>
      <c r="P155" s="196">
        <f t="shared" si="32"/>
        <v>0</v>
      </c>
      <c r="Q155" s="178">
        <f t="shared" si="32"/>
        <v>0</v>
      </c>
      <c r="R155" s="178">
        <f t="shared" si="32"/>
        <v>0</v>
      </c>
      <c r="S155" s="178">
        <f t="shared" si="32"/>
        <v>0</v>
      </c>
      <c r="T155" s="178">
        <f t="shared" si="32"/>
        <v>0</v>
      </c>
      <c r="U155" s="178">
        <f t="shared" si="32"/>
        <v>0</v>
      </c>
      <c r="V155" s="178">
        <f t="shared" si="32"/>
        <v>0</v>
      </c>
      <c r="W155" s="178">
        <f t="shared" si="32"/>
        <v>0</v>
      </c>
      <c r="X155" s="178">
        <f t="shared" si="32"/>
        <v>0</v>
      </c>
      <c r="Y155" s="178">
        <f t="shared" si="32"/>
        <v>0</v>
      </c>
      <c r="Z155" s="178">
        <f t="shared" si="32"/>
        <v>0</v>
      </c>
      <c r="AA155" s="178">
        <f t="shared" si="32"/>
        <v>0</v>
      </c>
      <c r="AB155" s="178">
        <f>SUM(AB156:AB168)</f>
        <v>0</v>
      </c>
      <c r="AC155" s="116"/>
      <c r="AD155" s="6"/>
      <c r="AE155" s="116"/>
    </row>
    <row r="156" spans="1:32" ht="24.6" customHeight="1">
      <c r="A156" s="22"/>
      <c r="B156" s="199">
        <v>1310004300</v>
      </c>
      <c r="C156" s="145">
        <v>244</v>
      </c>
      <c r="D156" s="200" t="s">
        <v>241</v>
      </c>
      <c r="E156" s="203" t="s">
        <v>313</v>
      </c>
      <c r="F156" s="22"/>
      <c r="G156" s="22"/>
      <c r="H156" s="22"/>
      <c r="I156" s="35"/>
      <c r="J156" s="27"/>
      <c r="K156" s="100">
        <v>125000000</v>
      </c>
      <c r="L156" s="69"/>
      <c r="M156" s="120"/>
      <c r="N156" s="31">
        <f t="shared" ref="N156:N183" si="33">K156-M156</f>
        <v>125000000</v>
      </c>
      <c r="O156" s="32"/>
      <c r="P156" s="101"/>
      <c r="Q156" s="31"/>
      <c r="R156" s="3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80">
        <f t="shared" ref="AB156:AB171" si="34">P156+Q156+R156+S156+T156+U156+V156+W156+X156+Y156+Z156+AA156-M156</f>
        <v>0</v>
      </c>
      <c r="AC156" s="116"/>
      <c r="AD156" s="6"/>
      <c r="AE156" s="116"/>
    </row>
    <row r="157" spans="1:32" ht="24" hidden="1" customHeight="1">
      <c r="A157" s="22"/>
      <c r="B157" s="200"/>
      <c r="C157" s="145">
        <v>244</v>
      </c>
      <c r="D157" s="200"/>
      <c r="E157" s="204" t="s">
        <v>250</v>
      </c>
      <c r="F157" s="22"/>
      <c r="G157" s="22"/>
      <c r="H157" s="22"/>
      <c r="I157" s="35"/>
      <c r="J157" s="27"/>
      <c r="K157" s="100">
        <v>49744604.109999999</v>
      </c>
      <c r="L157" s="69"/>
      <c r="M157" s="120"/>
      <c r="N157" s="31">
        <f t="shared" si="33"/>
        <v>49744604.109999999</v>
      </c>
      <c r="O157" s="32"/>
      <c r="P157" s="101"/>
      <c r="Q157" s="31"/>
      <c r="R157" s="3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80">
        <f t="shared" si="34"/>
        <v>0</v>
      </c>
      <c r="AC157" s="116"/>
      <c r="AD157" s="6"/>
      <c r="AE157" s="116"/>
    </row>
    <row r="158" spans="1:32" ht="23.4" hidden="1" customHeight="1">
      <c r="A158" s="22"/>
      <c r="B158" s="200"/>
      <c r="C158" s="145">
        <v>244</v>
      </c>
      <c r="D158" s="200"/>
      <c r="E158" s="204" t="s">
        <v>96</v>
      </c>
      <c r="F158" s="22">
        <v>1.6</v>
      </c>
      <c r="G158" s="22">
        <v>1.6</v>
      </c>
      <c r="H158" s="22">
        <v>0.6</v>
      </c>
      <c r="I158" s="35"/>
      <c r="J158" s="27">
        <f>F158*1</f>
        <v>1.6</v>
      </c>
      <c r="K158" s="115">
        <f>339317.8+12599370.78</f>
        <v>12938688.58</v>
      </c>
      <c r="L158" s="69"/>
      <c r="M158" s="120"/>
      <c r="N158" s="31">
        <f t="shared" si="33"/>
        <v>12938688.58</v>
      </c>
      <c r="O158" s="32"/>
      <c r="P158" s="84"/>
      <c r="Q158" s="31"/>
      <c r="R158" s="101"/>
      <c r="S158" s="31"/>
      <c r="T158" s="31"/>
      <c r="U158" s="31"/>
      <c r="V158" s="31"/>
      <c r="W158" s="31"/>
      <c r="X158" s="31"/>
      <c r="Y158" s="31"/>
      <c r="Z158" s="31"/>
      <c r="AA158" s="31"/>
      <c r="AB158" s="180">
        <f t="shared" si="34"/>
        <v>0</v>
      </c>
      <c r="AC158" s="116"/>
      <c r="AD158" s="6"/>
      <c r="AE158" s="116"/>
    </row>
    <row r="159" spans="1:32" ht="19.2" hidden="1" customHeight="1">
      <c r="A159" s="22"/>
      <c r="B159" s="200"/>
      <c r="C159" s="145">
        <v>244</v>
      </c>
      <c r="D159" s="200"/>
      <c r="E159" s="204" t="s">
        <v>130</v>
      </c>
      <c r="F159" s="22"/>
      <c r="G159" s="22"/>
      <c r="H159" s="22"/>
      <c r="I159" s="35"/>
      <c r="J159" s="73"/>
      <c r="K159" s="100">
        <v>20276249</v>
      </c>
      <c r="L159" s="69"/>
      <c r="M159" s="120"/>
      <c r="N159" s="31">
        <f t="shared" si="33"/>
        <v>20276249</v>
      </c>
      <c r="O159" s="32"/>
      <c r="P159" s="84"/>
      <c r="Q159" s="31"/>
      <c r="R159" s="101"/>
      <c r="S159" s="31"/>
      <c r="T159" s="31"/>
      <c r="U159" s="31"/>
      <c r="V159" s="31"/>
      <c r="W159" s="31"/>
      <c r="X159" s="31"/>
      <c r="Y159" s="31"/>
      <c r="Z159" s="31"/>
      <c r="AA159" s="31"/>
      <c r="AB159" s="180">
        <f t="shared" si="34"/>
        <v>0</v>
      </c>
      <c r="AC159" s="116"/>
      <c r="AD159" s="6"/>
      <c r="AE159" s="116"/>
    </row>
    <row r="160" spans="1:32" ht="34.950000000000003" hidden="1" customHeight="1">
      <c r="A160" s="22"/>
      <c r="B160" s="201"/>
      <c r="C160" s="145">
        <v>244</v>
      </c>
      <c r="D160" s="201"/>
      <c r="E160" s="204" t="s">
        <v>247</v>
      </c>
      <c r="F160" s="22"/>
      <c r="G160" s="22"/>
      <c r="H160" s="22"/>
      <c r="I160" s="35"/>
      <c r="J160" s="73"/>
      <c r="K160" s="100">
        <v>3607213.3</v>
      </c>
      <c r="L160" s="69"/>
      <c r="M160" s="120"/>
      <c r="N160" s="31">
        <f t="shared" si="33"/>
        <v>3607213.3</v>
      </c>
      <c r="O160" s="32"/>
      <c r="P160" s="84"/>
      <c r="Q160" s="31"/>
      <c r="R160" s="101"/>
      <c r="S160" s="31"/>
      <c r="T160" s="31"/>
      <c r="U160" s="31"/>
      <c r="V160" s="31"/>
      <c r="W160" s="31"/>
      <c r="X160" s="31"/>
      <c r="Y160" s="31"/>
      <c r="Z160" s="31"/>
      <c r="AA160" s="31"/>
      <c r="AB160" s="180">
        <f t="shared" si="34"/>
        <v>0</v>
      </c>
      <c r="AC160" s="116"/>
      <c r="AD160" s="6"/>
      <c r="AE160" s="116"/>
    </row>
    <row r="161" spans="1:31" ht="31.95" hidden="1" customHeight="1">
      <c r="A161" s="22"/>
      <c r="B161" s="201"/>
      <c r="C161" s="145">
        <v>244</v>
      </c>
      <c r="D161" s="201"/>
      <c r="E161" s="204" t="s">
        <v>272</v>
      </c>
      <c r="F161" s="22"/>
      <c r="G161" s="22"/>
      <c r="H161" s="22"/>
      <c r="I161" s="35"/>
      <c r="J161" s="73"/>
      <c r="K161" s="100">
        <f>138771271.25+125564562.62</f>
        <v>264335833.87</v>
      </c>
      <c r="L161" s="69"/>
      <c r="M161" s="120"/>
      <c r="N161" s="31">
        <f t="shared" si="33"/>
        <v>264335833.87</v>
      </c>
      <c r="O161" s="32"/>
      <c r="P161" s="84"/>
      <c r="Q161" s="31"/>
      <c r="R161" s="101"/>
      <c r="S161" s="31"/>
      <c r="T161" s="31"/>
      <c r="U161" s="31"/>
      <c r="V161" s="31"/>
      <c r="W161" s="31"/>
      <c r="X161" s="31"/>
      <c r="Y161" s="31"/>
      <c r="Z161" s="31"/>
      <c r="AA161" s="31"/>
      <c r="AB161" s="180">
        <f t="shared" si="34"/>
        <v>0</v>
      </c>
      <c r="AC161" s="116"/>
      <c r="AD161" s="6"/>
      <c r="AE161" s="116"/>
    </row>
    <row r="162" spans="1:31" ht="21" hidden="1" customHeight="1">
      <c r="A162" s="22"/>
      <c r="B162" s="201"/>
      <c r="C162" s="145">
        <v>244</v>
      </c>
      <c r="D162" s="201"/>
      <c r="E162" s="204" t="s">
        <v>128</v>
      </c>
      <c r="F162" s="22"/>
      <c r="G162" s="22"/>
      <c r="H162" s="22"/>
      <c r="I162" s="35"/>
      <c r="J162" s="73"/>
      <c r="K162" s="100">
        <v>86.3</v>
      </c>
      <c r="L162" s="69"/>
      <c r="M162" s="120"/>
      <c r="N162" s="31">
        <f t="shared" si="33"/>
        <v>86.3</v>
      </c>
      <c r="O162" s="32"/>
      <c r="P162" s="84"/>
      <c r="Q162" s="31"/>
      <c r="R162" s="101"/>
      <c r="S162" s="31"/>
      <c r="T162" s="31"/>
      <c r="U162" s="31"/>
      <c r="V162" s="31"/>
      <c r="W162" s="31"/>
      <c r="X162" s="31"/>
      <c r="Y162" s="31"/>
      <c r="Z162" s="31"/>
      <c r="AA162" s="31"/>
      <c r="AB162" s="180">
        <f>P162+Q162+R162+S162+T162+U162+V162+W162+X162+Y162+Z162+AA162-M162</f>
        <v>0</v>
      </c>
      <c r="AC162" s="116"/>
      <c r="AD162" s="6"/>
      <c r="AE162" s="116"/>
    </row>
    <row r="163" spans="1:31" ht="21" hidden="1" customHeight="1">
      <c r="A163" s="22"/>
      <c r="B163" s="201"/>
      <c r="C163" s="145">
        <v>244</v>
      </c>
      <c r="D163" s="201"/>
      <c r="E163" s="204" t="s">
        <v>281</v>
      </c>
      <c r="F163" s="22"/>
      <c r="G163" s="22"/>
      <c r="H163" s="22"/>
      <c r="I163" s="35"/>
      <c r="J163" s="73"/>
      <c r="K163" s="100">
        <f>197827+189756</f>
        <v>387583</v>
      </c>
      <c r="L163" s="69"/>
      <c r="M163" s="120"/>
      <c r="N163" s="31">
        <f t="shared" si="33"/>
        <v>387583</v>
      </c>
      <c r="O163" s="32"/>
      <c r="P163" s="84"/>
      <c r="Q163" s="31"/>
      <c r="R163" s="101"/>
      <c r="S163" s="31"/>
      <c r="T163" s="31"/>
      <c r="U163" s="31"/>
      <c r="V163" s="31"/>
      <c r="W163" s="31"/>
      <c r="X163" s="31"/>
      <c r="Y163" s="31"/>
      <c r="Z163" s="31"/>
      <c r="AA163" s="31"/>
      <c r="AB163" s="180">
        <f>P163+Q163+R163+S163+T163+U163+V163+W163+X163+Y163+Z163+AA163-M163</f>
        <v>0</v>
      </c>
      <c r="AC163" s="116"/>
      <c r="AD163" s="6"/>
      <c r="AE163" s="116"/>
    </row>
    <row r="164" spans="1:31" ht="30" hidden="1" customHeight="1">
      <c r="A164" s="22"/>
      <c r="B164" s="201"/>
      <c r="C164" s="145">
        <v>244</v>
      </c>
      <c r="D164" s="201"/>
      <c r="E164" s="204" t="s">
        <v>276</v>
      </c>
      <c r="F164" s="22"/>
      <c r="G164" s="22"/>
      <c r="H164" s="22"/>
      <c r="I164" s="35"/>
      <c r="J164" s="73"/>
      <c r="K164" s="100">
        <v>298425</v>
      </c>
      <c r="L164" s="69"/>
      <c r="M164" s="120"/>
      <c r="N164" s="31">
        <f t="shared" si="33"/>
        <v>298425</v>
      </c>
      <c r="O164" s="32"/>
      <c r="P164" s="84"/>
      <c r="Q164" s="31"/>
      <c r="R164" s="101"/>
      <c r="S164" s="31"/>
      <c r="T164" s="31"/>
      <c r="U164" s="31"/>
      <c r="V164" s="31"/>
      <c r="W164" s="31"/>
      <c r="X164" s="31"/>
      <c r="Y164" s="31"/>
      <c r="Z164" s="31"/>
      <c r="AA164" s="31"/>
      <c r="AB164" s="180">
        <f>P164+Q164+R164+S164+T164+U164+V164+W164+X164+Y164+Z164+AA164-M164</f>
        <v>0</v>
      </c>
      <c r="AC164" s="116"/>
      <c r="AD164" s="6"/>
      <c r="AE164" s="116"/>
    </row>
    <row r="165" spans="1:31" ht="25.2" hidden="1" customHeight="1">
      <c r="A165" s="22"/>
      <c r="B165" s="201"/>
      <c r="C165" s="145">
        <v>244</v>
      </c>
      <c r="D165" s="201"/>
      <c r="E165" s="204" t="s">
        <v>280</v>
      </c>
      <c r="F165" s="22"/>
      <c r="G165" s="22"/>
      <c r="H165" s="22"/>
      <c r="I165" s="35"/>
      <c r="J165" s="73"/>
      <c r="K165" s="100">
        <f>1416307.7+99581+13333187.14</f>
        <v>14849075.84</v>
      </c>
      <c r="L165" s="69"/>
      <c r="M165" s="120"/>
      <c r="N165" s="31">
        <f t="shared" si="33"/>
        <v>14849075.84</v>
      </c>
      <c r="O165" s="32"/>
      <c r="P165" s="84"/>
      <c r="Q165" s="31"/>
      <c r="R165" s="101"/>
      <c r="S165" s="31"/>
      <c r="T165" s="31"/>
      <c r="U165" s="31"/>
      <c r="V165" s="31"/>
      <c r="W165" s="31"/>
      <c r="X165" s="31"/>
      <c r="Y165" s="31"/>
      <c r="Z165" s="31"/>
      <c r="AA165" s="31"/>
      <c r="AB165" s="180">
        <f>P165+Q165+R165+S165+T165+U165+V165+W165+X165+Y165+Z165+AA165-M165</f>
        <v>0</v>
      </c>
      <c r="AC165" s="116"/>
      <c r="AD165" s="6"/>
      <c r="AE165" s="116"/>
    </row>
    <row r="166" spans="1:31" ht="25.2" hidden="1" customHeight="1">
      <c r="A166" s="22"/>
      <c r="B166" s="201"/>
      <c r="C166" s="145">
        <v>244</v>
      </c>
      <c r="D166" s="201"/>
      <c r="E166" s="204" t="s">
        <v>285</v>
      </c>
      <c r="F166" s="22"/>
      <c r="G166" s="22"/>
      <c r="H166" s="22"/>
      <c r="I166" s="35"/>
      <c r="J166" s="73"/>
      <c r="K166" s="100">
        <v>191369</v>
      </c>
      <c r="L166" s="69"/>
      <c r="M166" s="120"/>
      <c r="N166" s="31">
        <f t="shared" si="33"/>
        <v>191369</v>
      </c>
      <c r="O166" s="32"/>
      <c r="P166" s="84"/>
      <c r="Q166" s="31"/>
      <c r="R166" s="101"/>
      <c r="S166" s="31"/>
      <c r="T166" s="31"/>
      <c r="U166" s="31"/>
      <c r="V166" s="31"/>
      <c r="W166" s="31"/>
      <c r="X166" s="31"/>
      <c r="Y166" s="31"/>
      <c r="Z166" s="31"/>
      <c r="AA166" s="31"/>
      <c r="AB166" s="180">
        <f t="shared" ref="AB166:AB167" si="35">P166+Q166+R166+S166+T166+U166+V166+W166+X166+Y166+Z166+AA166-M166</f>
        <v>0</v>
      </c>
      <c r="AC166" s="116"/>
      <c r="AD166" s="6"/>
      <c r="AE166" s="116"/>
    </row>
    <row r="167" spans="1:31" ht="25.2" hidden="1" customHeight="1">
      <c r="A167" s="22"/>
      <c r="B167" s="201"/>
      <c r="C167" s="145"/>
      <c r="D167" s="201"/>
      <c r="E167" s="204" t="s">
        <v>286</v>
      </c>
      <c r="F167" s="22"/>
      <c r="G167" s="22"/>
      <c r="H167" s="22"/>
      <c r="I167" s="35"/>
      <c r="J167" s="73"/>
      <c r="K167" s="100">
        <v>299465</v>
      </c>
      <c r="L167" s="69"/>
      <c r="M167" s="120"/>
      <c r="N167" s="31">
        <f t="shared" si="33"/>
        <v>299465</v>
      </c>
      <c r="O167" s="32"/>
      <c r="P167" s="84"/>
      <c r="Q167" s="31"/>
      <c r="R167" s="101"/>
      <c r="S167" s="31"/>
      <c r="T167" s="31"/>
      <c r="U167" s="31"/>
      <c r="V167" s="31"/>
      <c r="W167" s="31"/>
      <c r="X167" s="31"/>
      <c r="Y167" s="31"/>
      <c r="Z167" s="31"/>
      <c r="AA167" s="31"/>
      <c r="AB167" s="180">
        <f t="shared" si="35"/>
        <v>0</v>
      </c>
      <c r="AC167" s="116"/>
      <c r="AD167" s="6"/>
      <c r="AE167" s="116"/>
    </row>
    <row r="168" spans="1:31" ht="19.2" hidden="1" customHeight="1">
      <c r="A168" s="22"/>
      <c r="B168" s="201"/>
      <c r="C168" s="145">
        <v>244</v>
      </c>
      <c r="D168" s="201"/>
      <c r="E168" s="204" t="s">
        <v>282</v>
      </c>
      <c r="F168" s="22"/>
      <c r="G168" s="22"/>
      <c r="H168" s="22"/>
      <c r="I168" s="35"/>
      <c r="J168" s="73"/>
      <c r="K168" s="100">
        <v>297417</v>
      </c>
      <c r="L168" s="69"/>
      <c r="M168" s="120"/>
      <c r="N168" s="31">
        <f t="shared" si="33"/>
        <v>297417</v>
      </c>
      <c r="O168" s="32"/>
      <c r="P168" s="84"/>
      <c r="Q168" s="31"/>
      <c r="R168" s="101"/>
      <c r="S168" s="31"/>
      <c r="T168" s="31"/>
      <c r="U168" s="31"/>
      <c r="V168" s="31"/>
      <c r="W168" s="31"/>
      <c r="X168" s="31"/>
      <c r="Y168" s="31"/>
      <c r="Z168" s="31"/>
      <c r="AA168" s="31"/>
      <c r="AB168" s="180">
        <f>P168+Q168+R168+S168+T168+U168+V168+W168+X168+Y168+Z168+AA168-M168</f>
        <v>0</v>
      </c>
      <c r="AC168" s="116"/>
      <c r="AD168" s="6"/>
      <c r="AE168" s="116"/>
    </row>
    <row r="169" spans="1:31" ht="40.950000000000003" hidden="1" customHeight="1">
      <c r="A169" s="22"/>
      <c r="B169" s="201">
        <v>1305390</v>
      </c>
      <c r="C169" s="201">
        <v>244</v>
      </c>
      <c r="D169" s="201">
        <v>225</v>
      </c>
      <c r="E169" s="205" t="s">
        <v>251</v>
      </c>
      <c r="F169" s="175"/>
      <c r="G169" s="175"/>
      <c r="H169" s="175"/>
      <c r="I169" s="176"/>
      <c r="J169" s="179"/>
      <c r="K169" s="182">
        <f>SUM(K170:K173)</f>
        <v>0</v>
      </c>
      <c r="L169" s="179"/>
      <c r="M169" s="183">
        <f>SUM(M170:M173)</f>
        <v>0</v>
      </c>
      <c r="N169" s="181">
        <f t="shared" si="33"/>
        <v>0</v>
      </c>
      <c r="O169" s="183"/>
      <c r="P169" s="184"/>
      <c r="Q169" s="181"/>
      <c r="R169" s="183">
        <f>SUM(R170:R173)</f>
        <v>0</v>
      </c>
      <c r="S169" s="183">
        <f>SUM(S170:S173)</f>
        <v>0</v>
      </c>
      <c r="T169" s="183">
        <f>SUM(T170:T173)</f>
        <v>0</v>
      </c>
      <c r="U169" s="183">
        <f>SUM(U170:U173)</f>
        <v>0</v>
      </c>
      <c r="V169" s="181"/>
      <c r="W169" s="181"/>
      <c r="X169" s="181"/>
      <c r="Y169" s="169"/>
      <c r="Z169" s="169"/>
      <c r="AA169" s="169"/>
      <c r="AB169" s="180">
        <f>SUM(AB170:AB173)</f>
        <v>0</v>
      </c>
      <c r="AC169" s="116"/>
      <c r="AD169" s="6"/>
      <c r="AE169" s="116"/>
    </row>
    <row r="170" spans="1:31" ht="22.95" hidden="1" customHeight="1">
      <c r="A170" s="22"/>
      <c r="B170" s="201"/>
      <c r="C170" s="145">
        <v>244</v>
      </c>
      <c r="D170" s="201"/>
      <c r="E170" s="204" t="s">
        <v>130</v>
      </c>
      <c r="F170" s="22"/>
      <c r="G170" s="22"/>
      <c r="H170" s="22"/>
      <c r="I170" s="35"/>
      <c r="J170" s="73"/>
      <c r="K170" s="100"/>
      <c r="L170" s="69"/>
      <c r="M170" s="120"/>
      <c r="N170" s="31">
        <f t="shared" si="33"/>
        <v>0</v>
      </c>
      <c r="O170" s="32"/>
      <c r="P170" s="84"/>
      <c r="Q170" s="31"/>
      <c r="R170" s="101"/>
      <c r="S170" s="31"/>
      <c r="T170" s="31"/>
      <c r="U170" s="31"/>
      <c r="V170" s="31"/>
      <c r="W170" s="31"/>
      <c r="X170" s="31"/>
      <c r="Y170" s="31"/>
      <c r="Z170" s="31"/>
      <c r="AA170" s="31"/>
      <c r="AB170" s="180">
        <f t="shared" si="34"/>
        <v>0</v>
      </c>
      <c r="AC170" s="116"/>
      <c r="AD170" s="6"/>
      <c r="AE170" s="116"/>
    </row>
    <row r="171" spans="1:31" ht="23.4" hidden="1" customHeight="1">
      <c r="A171" s="22"/>
      <c r="B171" s="201"/>
      <c r="C171" s="145">
        <v>244</v>
      </c>
      <c r="D171" s="201"/>
      <c r="E171" s="204" t="s">
        <v>248</v>
      </c>
      <c r="F171" s="22"/>
      <c r="G171" s="22"/>
      <c r="H171" s="22"/>
      <c r="I171" s="35"/>
      <c r="J171" s="73"/>
      <c r="K171" s="100"/>
      <c r="L171" s="69"/>
      <c r="M171" s="120"/>
      <c r="N171" s="31">
        <f t="shared" si="33"/>
        <v>0</v>
      </c>
      <c r="O171" s="32"/>
      <c r="P171" s="84"/>
      <c r="Q171" s="31"/>
      <c r="R171" s="101"/>
      <c r="S171" s="31"/>
      <c r="T171" s="31"/>
      <c r="U171" s="31"/>
      <c r="V171" s="31"/>
      <c r="W171" s="31"/>
      <c r="X171" s="31"/>
      <c r="Y171" s="31"/>
      <c r="Z171" s="31"/>
      <c r="AA171" s="31"/>
      <c r="AB171" s="180">
        <f t="shared" si="34"/>
        <v>0</v>
      </c>
      <c r="AC171" s="116"/>
      <c r="AD171" s="6"/>
      <c r="AE171" s="116"/>
    </row>
    <row r="172" spans="1:31" ht="4.2" hidden="1" customHeight="1">
      <c r="A172" s="22"/>
      <c r="B172" s="201"/>
      <c r="C172" s="201">
        <v>244</v>
      </c>
      <c r="D172" s="201"/>
      <c r="E172" s="204" t="s">
        <v>83</v>
      </c>
      <c r="F172" s="22"/>
      <c r="G172" s="22"/>
      <c r="H172" s="22"/>
      <c r="I172" s="35"/>
      <c r="J172" s="73"/>
      <c r="K172" s="100"/>
      <c r="L172" s="69"/>
      <c r="M172" s="120"/>
      <c r="N172" s="29">
        <f t="shared" si="33"/>
        <v>0</v>
      </c>
      <c r="O172" s="32"/>
      <c r="P172" s="84"/>
      <c r="Q172" s="31"/>
      <c r="R172" s="101"/>
      <c r="S172" s="31"/>
      <c r="T172" s="31"/>
      <c r="U172" s="31"/>
      <c r="V172" s="31"/>
      <c r="W172" s="31"/>
      <c r="X172" s="31"/>
      <c r="Y172" s="31"/>
      <c r="Z172" s="31"/>
      <c r="AA172" s="31"/>
      <c r="AB172" s="181">
        <f t="shared" ref="AB172" si="36">P172+Q172+R172-M172</f>
        <v>0</v>
      </c>
      <c r="AC172" s="116"/>
      <c r="AD172" s="6"/>
      <c r="AE172" s="116"/>
    </row>
    <row r="173" spans="1:31" ht="7.2" hidden="1" customHeight="1">
      <c r="A173" s="22"/>
      <c r="B173" s="201"/>
      <c r="C173" s="201">
        <v>244</v>
      </c>
      <c r="D173" s="201"/>
      <c r="E173" s="204" t="s">
        <v>249</v>
      </c>
      <c r="F173" s="22"/>
      <c r="G173" s="22"/>
      <c r="H173" s="22"/>
      <c r="I173" s="35"/>
      <c r="J173" s="73"/>
      <c r="K173" s="100"/>
      <c r="L173" s="69"/>
      <c r="M173" s="120"/>
      <c r="N173" s="29">
        <f t="shared" si="33"/>
        <v>0</v>
      </c>
      <c r="O173" s="32"/>
      <c r="P173" s="84"/>
      <c r="Q173" s="31"/>
      <c r="R173" s="170"/>
      <c r="S173" s="31"/>
      <c r="T173" s="31"/>
      <c r="U173" s="31"/>
      <c r="V173" s="31"/>
      <c r="W173" s="31"/>
      <c r="X173" s="31"/>
      <c r="Y173" s="31"/>
      <c r="Z173" s="31"/>
      <c r="AA173" s="31"/>
      <c r="AB173" s="180">
        <f>P173+Q173+R173+S173+T173+U173+V173+W173+X173+Y173+Z173+AA173-M173</f>
        <v>0</v>
      </c>
      <c r="AC173" s="116"/>
      <c r="AD173" s="6"/>
      <c r="AE173" s="116"/>
    </row>
    <row r="174" spans="1:31" ht="22.2" customHeight="1">
      <c r="A174" s="22"/>
      <c r="B174" s="148" t="s">
        <v>314</v>
      </c>
      <c r="C174" s="198"/>
      <c r="D174" s="198" t="s">
        <v>242</v>
      </c>
      <c r="E174" s="203" t="s">
        <v>81</v>
      </c>
      <c r="F174" s="175"/>
      <c r="G174" s="175"/>
      <c r="H174" s="175"/>
      <c r="I174" s="176"/>
      <c r="J174" s="179"/>
      <c r="K174" s="100">
        <v>17120000</v>
      </c>
      <c r="L174" s="73"/>
      <c r="M174" s="196">
        <f t="shared" ref="M174:AA174" si="37">SUM(M175:M183)</f>
        <v>0</v>
      </c>
      <c r="N174" s="100">
        <f t="shared" si="37"/>
        <v>2954200</v>
      </c>
      <c r="O174" s="196">
        <f t="shared" si="37"/>
        <v>0</v>
      </c>
      <c r="P174" s="196">
        <f t="shared" si="37"/>
        <v>0</v>
      </c>
      <c r="Q174" s="178">
        <f t="shared" si="37"/>
        <v>0</v>
      </c>
      <c r="R174" s="178">
        <f t="shared" si="37"/>
        <v>0</v>
      </c>
      <c r="S174" s="178">
        <f t="shared" si="37"/>
        <v>0</v>
      </c>
      <c r="T174" s="178">
        <f t="shared" si="37"/>
        <v>0</v>
      </c>
      <c r="U174" s="178">
        <f t="shared" si="37"/>
        <v>0</v>
      </c>
      <c r="V174" s="178">
        <f t="shared" si="37"/>
        <v>0</v>
      </c>
      <c r="W174" s="178">
        <f t="shared" si="37"/>
        <v>0</v>
      </c>
      <c r="X174" s="178">
        <f t="shared" si="37"/>
        <v>0</v>
      </c>
      <c r="Y174" s="178">
        <f t="shared" si="37"/>
        <v>0</v>
      </c>
      <c r="Z174" s="178">
        <f t="shared" si="37"/>
        <v>0</v>
      </c>
      <c r="AA174" s="178">
        <f t="shared" si="37"/>
        <v>0</v>
      </c>
      <c r="AB174" s="178">
        <f>SUM(AB175:AB183)</f>
        <v>0</v>
      </c>
      <c r="AC174" s="116"/>
      <c r="AD174" s="6"/>
      <c r="AE174" s="116"/>
    </row>
    <row r="175" spans="1:31" ht="15.6" hidden="1" customHeight="1">
      <c r="A175" s="22"/>
      <c r="B175" s="201"/>
      <c r="C175" s="201"/>
      <c r="D175" s="201"/>
      <c r="E175" s="206" t="s">
        <v>80</v>
      </c>
      <c r="F175" s="22"/>
      <c r="G175" s="22"/>
      <c r="H175" s="22"/>
      <c r="I175" s="35"/>
      <c r="J175" s="73"/>
      <c r="K175" s="100"/>
      <c r="L175" s="73"/>
      <c r="M175" s="30"/>
      <c r="N175" s="56">
        <f t="shared" si="33"/>
        <v>0</v>
      </c>
      <c r="O175" s="30"/>
      <c r="P175" s="197"/>
      <c r="Q175" s="31"/>
      <c r="R175" s="101"/>
      <c r="S175" s="31"/>
      <c r="T175" s="31"/>
      <c r="U175" s="31"/>
      <c r="V175" s="31"/>
      <c r="W175" s="31"/>
      <c r="X175" s="31"/>
      <c r="Y175" s="31"/>
      <c r="Z175" s="31"/>
      <c r="AA175" s="31"/>
      <c r="AB175" s="180"/>
      <c r="AC175" s="116"/>
      <c r="AD175" s="6"/>
      <c r="AE175" s="116"/>
    </row>
    <row r="176" spans="1:31" ht="19.95" hidden="1" customHeight="1">
      <c r="A176" s="22"/>
      <c r="B176" s="201"/>
      <c r="C176" s="201">
        <v>244</v>
      </c>
      <c r="D176" s="201"/>
      <c r="E176" s="204" t="s">
        <v>97</v>
      </c>
      <c r="F176" s="22"/>
      <c r="G176" s="22"/>
      <c r="H176" s="22"/>
      <c r="I176" s="35"/>
      <c r="J176" s="73"/>
      <c r="K176" s="100">
        <v>10100</v>
      </c>
      <c r="L176" s="73"/>
      <c r="M176" s="30"/>
      <c r="N176" s="56">
        <f t="shared" si="33"/>
        <v>10100</v>
      </c>
      <c r="O176" s="30"/>
      <c r="P176" s="197"/>
      <c r="Q176" s="31"/>
      <c r="R176" s="101"/>
      <c r="S176" s="31"/>
      <c r="T176" s="31"/>
      <c r="U176" s="31"/>
      <c r="V176" s="31"/>
      <c r="W176" s="31"/>
      <c r="X176" s="31"/>
      <c r="Y176" s="31"/>
      <c r="Z176" s="31"/>
      <c r="AA176" s="31"/>
      <c r="AB176" s="180">
        <f t="shared" ref="AB176:AB191" si="38">P176+Q176+R176+S176+T176+U176+V176+W176+X176+Y176+Z176+AA176-M176</f>
        <v>0</v>
      </c>
      <c r="AC176" s="116"/>
      <c r="AD176" s="6"/>
      <c r="AE176" s="116"/>
    </row>
    <row r="177" spans="1:31" ht="23.4" hidden="1" customHeight="1">
      <c r="A177" s="22"/>
      <c r="B177" s="201"/>
      <c r="C177" s="201">
        <v>244</v>
      </c>
      <c r="D177" s="201"/>
      <c r="E177" s="204" t="s">
        <v>82</v>
      </c>
      <c r="F177" s="22"/>
      <c r="G177" s="22"/>
      <c r="H177" s="22"/>
      <c r="I177" s="35"/>
      <c r="J177" s="73"/>
      <c r="K177" s="100">
        <f>1803762.85+45400</f>
        <v>1849162.85</v>
      </c>
      <c r="L177" s="73"/>
      <c r="M177" s="30"/>
      <c r="N177" s="56">
        <f t="shared" si="33"/>
        <v>1849162.85</v>
      </c>
      <c r="O177" s="30"/>
      <c r="P177" s="197"/>
      <c r="Q177" s="3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80">
        <f t="shared" si="38"/>
        <v>0</v>
      </c>
      <c r="AC177" s="116"/>
      <c r="AD177" s="6"/>
      <c r="AE177" s="116"/>
    </row>
    <row r="178" spans="1:31" ht="28.2" hidden="1" customHeight="1">
      <c r="A178" s="22"/>
      <c r="B178" s="201"/>
      <c r="C178" s="201">
        <v>244</v>
      </c>
      <c r="D178" s="201"/>
      <c r="E178" s="204" t="s">
        <v>230</v>
      </c>
      <c r="F178" s="22"/>
      <c r="G178" s="22"/>
      <c r="H178" s="22"/>
      <c r="I178" s="35"/>
      <c r="J178" s="73"/>
      <c r="K178" s="100">
        <v>100000</v>
      </c>
      <c r="L178" s="73"/>
      <c r="M178" s="30"/>
      <c r="N178" s="56">
        <f t="shared" si="33"/>
        <v>100000</v>
      </c>
      <c r="O178" s="30"/>
      <c r="P178" s="197"/>
      <c r="Q178" s="3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80">
        <f t="shared" si="38"/>
        <v>0</v>
      </c>
      <c r="AC178" s="116"/>
      <c r="AD178" s="6"/>
      <c r="AE178" s="116"/>
    </row>
    <row r="179" spans="1:31" ht="21" hidden="1" customHeight="1">
      <c r="A179" s="22"/>
      <c r="B179" s="201"/>
      <c r="C179" s="201">
        <v>244</v>
      </c>
      <c r="D179" s="201"/>
      <c r="E179" s="204" t="s">
        <v>279</v>
      </c>
      <c r="F179" s="22"/>
      <c r="G179" s="22"/>
      <c r="H179" s="22"/>
      <c r="I179" s="35"/>
      <c r="J179" s="73"/>
      <c r="K179" s="100">
        <v>499174.41</v>
      </c>
      <c r="L179" s="73"/>
      <c r="M179" s="30"/>
      <c r="N179" s="56">
        <f t="shared" si="33"/>
        <v>499174.41</v>
      </c>
      <c r="O179" s="30"/>
      <c r="P179" s="197"/>
      <c r="Q179" s="3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80">
        <f t="shared" si="38"/>
        <v>0</v>
      </c>
      <c r="AC179" s="116"/>
      <c r="AD179" s="6"/>
      <c r="AE179" s="116"/>
    </row>
    <row r="180" spans="1:31" ht="27" hidden="1" customHeight="1">
      <c r="A180" s="22"/>
      <c r="B180" s="201"/>
      <c r="C180" s="201">
        <v>244</v>
      </c>
      <c r="D180" s="201"/>
      <c r="E180" s="204" t="s">
        <v>214</v>
      </c>
      <c r="F180" s="22"/>
      <c r="G180" s="22"/>
      <c r="H180" s="22"/>
      <c r="I180" s="35"/>
      <c r="J180" s="73"/>
      <c r="K180" s="100"/>
      <c r="L180" s="73"/>
      <c r="M180" s="30"/>
      <c r="N180" s="56">
        <f t="shared" si="33"/>
        <v>0</v>
      </c>
      <c r="O180" s="30"/>
      <c r="P180" s="197"/>
      <c r="Q180" s="3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80">
        <f t="shared" si="38"/>
        <v>0</v>
      </c>
      <c r="AC180" s="116"/>
      <c r="AD180" s="6"/>
      <c r="AE180" s="116"/>
    </row>
    <row r="181" spans="1:31" ht="31.2" hidden="1" customHeight="1">
      <c r="A181" s="22"/>
      <c r="B181" s="201"/>
      <c r="C181" s="201">
        <v>244</v>
      </c>
      <c r="D181" s="201"/>
      <c r="E181" s="204" t="s">
        <v>271</v>
      </c>
      <c r="F181" s="22"/>
      <c r="G181" s="22"/>
      <c r="H181" s="22"/>
      <c r="I181" s="35"/>
      <c r="J181" s="73"/>
      <c r="K181" s="100">
        <v>200000</v>
      </c>
      <c r="L181" s="73"/>
      <c r="M181" s="30"/>
      <c r="N181" s="56">
        <f t="shared" si="33"/>
        <v>200000</v>
      </c>
      <c r="O181" s="30"/>
      <c r="P181" s="197"/>
      <c r="Q181" s="3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80">
        <f t="shared" si="38"/>
        <v>0</v>
      </c>
      <c r="AC181" s="116"/>
      <c r="AD181" s="6"/>
      <c r="AE181" s="116"/>
    </row>
    <row r="182" spans="1:31" ht="40.950000000000003" hidden="1" customHeight="1">
      <c r="A182" s="22"/>
      <c r="B182" s="201"/>
      <c r="C182" s="201">
        <v>244</v>
      </c>
      <c r="D182" s="201"/>
      <c r="E182" s="204" t="s">
        <v>98</v>
      </c>
      <c r="F182" s="22"/>
      <c r="G182" s="22"/>
      <c r="H182" s="22"/>
      <c r="I182" s="35"/>
      <c r="J182" s="73"/>
      <c r="K182" s="100">
        <v>100000</v>
      </c>
      <c r="L182" s="73"/>
      <c r="M182" s="30"/>
      <c r="N182" s="56">
        <f t="shared" si="33"/>
        <v>100000</v>
      </c>
      <c r="O182" s="30"/>
      <c r="P182" s="197"/>
      <c r="Q182" s="3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80">
        <f t="shared" si="38"/>
        <v>0</v>
      </c>
      <c r="AC182" s="116"/>
      <c r="AD182" s="6"/>
      <c r="AE182" s="116"/>
    </row>
    <row r="183" spans="1:31" ht="24" hidden="1" customHeight="1">
      <c r="A183" s="22"/>
      <c r="B183" s="201"/>
      <c r="C183" s="201">
        <v>244</v>
      </c>
      <c r="D183" s="201"/>
      <c r="E183" s="204" t="s">
        <v>283</v>
      </c>
      <c r="F183" s="22"/>
      <c r="G183" s="22"/>
      <c r="H183" s="22"/>
      <c r="I183" s="35"/>
      <c r="J183" s="73"/>
      <c r="K183" s="100">
        <v>195762.74</v>
      </c>
      <c r="L183" s="73"/>
      <c r="M183" s="30"/>
      <c r="N183" s="56">
        <f t="shared" si="33"/>
        <v>195762.74</v>
      </c>
      <c r="O183" s="30"/>
      <c r="P183" s="197"/>
      <c r="Q183" s="3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80">
        <f t="shared" si="38"/>
        <v>0</v>
      </c>
      <c r="AC183" s="116"/>
      <c r="AD183" s="6"/>
      <c r="AE183" s="116"/>
    </row>
    <row r="184" spans="1:31" ht="29.4" customHeight="1">
      <c r="A184" s="22"/>
      <c r="B184" s="207"/>
      <c r="C184" s="208">
        <v>244</v>
      </c>
      <c r="D184" s="209">
        <v>225.226</v>
      </c>
      <c r="E184" s="210" t="s">
        <v>252</v>
      </c>
      <c r="F184" s="211"/>
      <c r="G184" s="211"/>
      <c r="H184" s="211"/>
      <c r="I184" s="211"/>
      <c r="J184" s="211"/>
      <c r="K184" s="212">
        <f>K155+K156+K174</f>
        <v>1511436000</v>
      </c>
      <c r="L184" s="213"/>
      <c r="M184" s="214">
        <f t="shared" ref="M184:AB184" si="39">M155+M169+M174</f>
        <v>189847457</v>
      </c>
      <c r="N184" s="212">
        <f t="shared" si="39"/>
        <v>495180210</v>
      </c>
      <c r="O184" s="214">
        <f t="shared" si="39"/>
        <v>0</v>
      </c>
      <c r="P184" s="214">
        <f t="shared" si="39"/>
        <v>0</v>
      </c>
      <c r="Q184" s="180">
        <f t="shared" si="39"/>
        <v>0</v>
      </c>
      <c r="R184" s="180">
        <f t="shared" si="39"/>
        <v>0</v>
      </c>
      <c r="S184" s="180">
        <f t="shared" si="39"/>
        <v>0</v>
      </c>
      <c r="T184" s="180">
        <f t="shared" si="39"/>
        <v>0</v>
      </c>
      <c r="U184" s="180">
        <f t="shared" si="39"/>
        <v>0</v>
      </c>
      <c r="V184" s="180">
        <f t="shared" si="39"/>
        <v>0</v>
      </c>
      <c r="W184" s="180">
        <f t="shared" si="39"/>
        <v>0</v>
      </c>
      <c r="X184" s="180">
        <f t="shared" si="39"/>
        <v>0</v>
      </c>
      <c r="Y184" s="168">
        <f t="shared" si="39"/>
        <v>0</v>
      </c>
      <c r="Z184" s="168">
        <f t="shared" si="39"/>
        <v>0</v>
      </c>
      <c r="AA184" s="168">
        <f t="shared" si="39"/>
        <v>0</v>
      </c>
      <c r="AB184" s="180">
        <f t="shared" si="39"/>
        <v>0</v>
      </c>
      <c r="AC184" s="116"/>
      <c r="AD184" s="6"/>
      <c r="AE184" s="116"/>
    </row>
    <row r="185" spans="1:31" ht="23.4" customHeight="1">
      <c r="A185" s="22"/>
      <c r="B185" s="148" t="s">
        <v>314</v>
      </c>
      <c r="C185" s="146">
        <v>243</v>
      </c>
      <c r="D185" s="149">
        <v>225</v>
      </c>
      <c r="E185" s="205" t="s">
        <v>140</v>
      </c>
      <c r="F185" s="22"/>
      <c r="G185" s="22"/>
      <c r="H185" s="22"/>
      <c r="I185" s="22"/>
      <c r="J185" s="22"/>
      <c r="K185" s="31">
        <v>319916600</v>
      </c>
      <c r="L185" s="102"/>
      <c r="M185" s="120"/>
      <c r="N185" s="31">
        <f t="shared" ref="N185:N194" si="40">K185-M185</f>
        <v>319916600</v>
      </c>
      <c r="O185" s="32"/>
      <c r="P185" s="29"/>
      <c r="Q185" s="31"/>
      <c r="R185" s="31"/>
      <c r="S185" s="101"/>
      <c r="T185" s="101"/>
      <c r="U185" s="84"/>
      <c r="V185" s="84"/>
      <c r="W185" s="84"/>
      <c r="X185" s="84"/>
      <c r="Y185" s="101"/>
      <c r="Z185" s="84"/>
      <c r="AA185" s="84"/>
      <c r="AB185" s="180">
        <f t="shared" si="38"/>
        <v>0</v>
      </c>
      <c r="AC185" s="116"/>
      <c r="AE185" s="116"/>
    </row>
    <row r="186" spans="1:31" ht="19.95" customHeight="1">
      <c r="A186" s="22"/>
      <c r="B186" s="148" t="s">
        <v>314</v>
      </c>
      <c r="C186" s="146">
        <v>243</v>
      </c>
      <c r="D186" s="149">
        <v>226</v>
      </c>
      <c r="E186" s="205" t="s">
        <v>305</v>
      </c>
      <c r="F186" s="22"/>
      <c r="G186" s="22"/>
      <c r="H186" s="22"/>
      <c r="I186" s="22"/>
      <c r="J186" s="22"/>
      <c r="K186" s="31">
        <v>3325000</v>
      </c>
      <c r="L186" s="102"/>
      <c r="M186" s="120"/>
      <c r="N186" s="31">
        <f t="shared" si="40"/>
        <v>3325000</v>
      </c>
      <c r="O186" s="32"/>
      <c r="P186" s="29"/>
      <c r="Q186" s="31"/>
      <c r="R186" s="31"/>
      <c r="S186" s="101"/>
      <c r="T186" s="101"/>
      <c r="U186" s="84"/>
      <c r="V186" s="84"/>
      <c r="W186" s="84"/>
      <c r="X186" s="84"/>
      <c r="Y186" s="101"/>
      <c r="Z186" s="84"/>
      <c r="AA186" s="84"/>
      <c r="AB186" s="180"/>
      <c r="AC186" s="116"/>
      <c r="AE186" s="116"/>
    </row>
    <row r="187" spans="1:31" ht="19.95" customHeight="1">
      <c r="A187" s="22"/>
      <c r="B187" s="148">
        <v>1310004300</v>
      </c>
      <c r="C187" s="146">
        <v>243</v>
      </c>
      <c r="D187" s="149">
        <v>225</v>
      </c>
      <c r="E187" s="205" t="s">
        <v>309</v>
      </c>
      <c r="F187" s="22"/>
      <c r="G187" s="22"/>
      <c r="H187" s="22"/>
      <c r="I187" s="22"/>
      <c r="J187" s="22"/>
      <c r="K187" s="31">
        <v>30424300</v>
      </c>
      <c r="L187" s="102"/>
      <c r="M187" s="120"/>
      <c r="N187" s="31">
        <f t="shared" si="40"/>
        <v>30424300</v>
      </c>
      <c r="O187" s="32"/>
      <c r="P187" s="29"/>
      <c r="Q187" s="31"/>
      <c r="R187" s="31"/>
      <c r="S187" s="101"/>
      <c r="T187" s="101"/>
      <c r="U187" s="84"/>
      <c r="V187" s="84"/>
      <c r="W187" s="84"/>
      <c r="X187" s="84"/>
      <c r="Y187" s="101"/>
      <c r="Z187" s="84"/>
      <c r="AA187" s="84"/>
      <c r="AB187" s="180"/>
      <c r="AC187" s="116"/>
      <c r="AE187" s="116"/>
    </row>
    <row r="188" spans="1:31" ht="31.2" customHeight="1">
      <c r="A188" s="22"/>
      <c r="B188" s="148" t="s">
        <v>314</v>
      </c>
      <c r="C188" s="146">
        <v>244</v>
      </c>
      <c r="D188" s="149" t="s">
        <v>243</v>
      </c>
      <c r="E188" s="205" t="s">
        <v>311</v>
      </c>
      <c r="F188" s="22"/>
      <c r="G188" s="22"/>
      <c r="H188" s="22"/>
      <c r="I188" s="22"/>
      <c r="J188" s="22"/>
      <c r="K188" s="31">
        <f>503377200-36575700</f>
        <v>466801500</v>
      </c>
      <c r="L188" s="102"/>
      <c r="M188" s="120"/>
      <c r="N188" s="31">
        <f t="shared" si="40"/>
        <v>466801500</v>
      </c>
      <c r="O188" s="32"/>
      <c r="P188" s="29"/>
      <c r="Q188" s="31"/>
      <c r="R188" s="31"/>
      <c r="S188" s="101"/>
      <c r="T188" s="101"/>
      <c r="U188" s="84"/>
      <c r="V188" s="84"/>
      <c r="W188" s="84"/>
      <c r="X188" s="84"/>
      <c r="Y188" s="101"/>
      <c r="Z188" s="84"/>
      <c r="AA188" s="84"/>
      <c r="AB188" s="180">
        <f>P188+Q188+R188+S188+T188+U188+V188+W188+X188+Y188+Z188+AA188-M188</f>
        <v>0</v>
      </c>
      <c r="AC188" s="116"/>
      <c r="AE188" s="116"/>
    </row>
    <row r="189" spans="1:31" ht="33" customHeight="1">
      <c r="A189" s="22"/>
      <c r="B189" s="148" t="s">
        <v>314</v>
      </c>
      <c r="C189" s="146">
        <v>244</v>
      </c>
      <c r="D189" s="149">
        <v>226</v>
      </c>
      <c r="E189" s="205" t="s">
        <v>306</v>
      </c>
      <c r="F189" s="22"/>
      <c r="G189" s="22"/>
      <c r="H189" s="22"/>
      <c r="I189" s="22"/>
      <c r="J189" s="22"/>
      <c r="K189" s="31">
        <f>6675000</f>
        <v>6675000</v>
      </c>
      <c r="L189" s="102"/>
      <c r="M189" s="120"/>
      <c r="N189" s="31">
        <f t="shared" si="40"/>
        <v>6675000</v>
      </c>
      <c r="O189" s="32"/>
      <c r="P189" s="31"/>
      <c r="Q189" s="31"/>
      <c r="R189" s="31"/>
      <c r="S189" s="101"/>
      <c r="T189" s="101"/>
      <c r="U189" s="84"/>
      <c r="V189" s="84"/>
      <c r="W189" s="84"/>
      <c r="X189" s="84"/>
      <c r="Y189" s="101"/>
      <c r="Z189" s="84"/>
      <c r="AA189" s="84"/>
      <c r="AB189" s="180">
        <f>P189+Q189+R189+S189+T189+U189+V189+W189+X189+Y189+Z189+AA189-M189</f>
        <v>0</v>
      </c>
      <c r="AC189" s="116"/>
      <c r="AE189" s="116"/>
    </row>
    <row r="190" spans="1:31" ht="19.2" customHeight="1">
      <c r="A190" s="22"/>
      <c r="B190" s="148">
        <v>1310004300</v>
      </c>
      <c r="C190" s="146">
        <v>244</v>
      </c>
      <c r="D190" s="149" t="s">
        <v>243</v>
      </c>
      <c r="E190" s="205" t="s">
        <v>310</v>
      </c>
      <c r="F190" s="22"/>
      <c r="G190" s="22"/>
      <c r="H190" s="22"/>
      <c r="I190" s="22"/>
      <c r="J190" s="22"/>
      <c r="K190" s="31">
        <v>36575700</v>
      </c>
      <c r="L190" s="102"/>
      <c r="M190" s="120"/>
      <c r="N190" s="31">
        <f t="shared" si="40"/>
        <v>36575700</v>
      </c>
      <c r="O190" s="32"/>
      <c r="P190" s="22"/>
      <c r="Q190" s="22"/>
      <c r="R190" s="31"/>
      <c r="S190" s="31"/>
      <c r="T190" s="31"/>
      <c r="U190" s="22"/>
      <c r="V190" s="22"/>
      <c r="W190" s="22"/>
      <c r="X190" s="22"/>
      <c r="Y190" s="31"/>
      <c r="Z190" s="22"/>
      <c r="AA190" s="22"/>
      <c r="AB190" s="180">
        <f t="shared" si="38"/>
        <v>0</v>
      </c>
      <c r="AC190" s="116"/>
      <c r="AE190" s="116"/>
    </row>
    <row r="191" spans="1:31" ht="22.2" customHeight="1">
      <c r="A191" s="22"/>
      <c r="B191" s="148" t="s">
        <v>316</v>
      </c>
      <c r="C191" s="146">
        <v>414</v>
      </c>
      <c r="D191" s="149">
        <v>226</v>
      </c>
      <c r="E191" s="205" t="s">
        <v>307</v>
      </c>
      <c r="F191" s="22"/>
      <c r="G191" s="22"/>
      <c r="H191" s="22"/>
      <c r="I191" s="22"/>
      <c r="J191" s="22"/>
      <c r="K191" s="31">
        <v>16758100</v>
      </c>
      <c r="L191" s="102"/>
      <c r="M191" s="120"/>
      <c r="N191" s="31">
        <f t="shared" si="40"/>
        <v>16758100</v>
      </c>
      <c r="O191" s="32"/>
      <c r="P191" s="22"/>
      <c r="Q191" s="31"/>
      <c r="R191" s="3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80">
        <f t="shared" si="38"/>
        <v>0</v>
      </c>
      <c r="AC191" s="116"/>
      <c r="AE191" s="116"/>
    </row>
    <row r="192" spans="1:31" ht="24" customHeight="1">
      <c r="A192" s="22"/>
      <c r="B192" s="148" t="s">
        <v>316</v>
      </c>
      <c r="C192" s="147" t="s">
        <v>253</v>
      </c>
      <c r="D192" s="149">
        <v>310</v>
      </c>
      <c r="E192" s="205" t="s">
        <v>284</v>
      </c>
      <c r="F192" s="22"/>
      <c r="G192" s="22"/>
      <c r="H192" s="22"/>
      <c r="I192" s="22"/>
      <c r="J192" s="22"/>
      <c r="K192" s="31">
        <f>418409000-219622000</f>
        <v>198787000</v>
      </c>
      <c r="L192" s="102"/>
      <c r="M192" s="32"/>
      <c r="N192" s="31">
        <f t="shared" si="40"/>
        <v>198787000</v>
      </c>
      <c r="O192" s="32"/>
      <c r="P192" s="31"/>
      <c r="Q192" s="31"/>
      <c r="R192" s="31"/>
      <c r="S192" s="101"/>
      <c r="T192" s="101"/>
      <c r="U192" s="84"/>
      <c r="V192" s="84"/>
      <c r="W192" s="84"/>
      <c r="X192" s="84"/>
      <c r="Y192" s="101"/>
      <c r="Z192" s="84"/>
      <c r="AA192" s="84"/>
      <c r="AB192" s="180">
        <f>P192+Q192+R192+S192+T192+U192+V192+W192+X192+Y192+Z192+AA192-M192</f>
        <v>0</v>
      </c>
      <c r="AE192" s="116"/>
    </row>
    <row r="193" spans="1:31" ht="20.399999999999999" customHeight="1">
      <c r="A193" s="70"/>
      <c r="B193" s="148">
        <v>1310018000</v>
      </c>
      <c r="C193" s="146">
        <v>414</v>
      </c>
      <c r="D193" s="149">
        <v>310</v>
      </c>
      <c r="E193" s="205" t="s">
        <v>315</v>
      </c>
      <c r="F193" s="22"/>
      <c r="G193" s="22"/>
      <c r="H193" s="22"/>
      <c r="I193" s="22"/>
      <c r="J193" s="22"/>
      <c r="K193" s="31">
        <v>219622000</v>
      </c>
      <c r="L193" s="102"/>
      <c r="M193" s="32"/>
      <c r="N193" s="31">
        <f t="shared" si="40"/>
        <v>219622000</v>
      </c>
      <c r="O193" s="32"/>
      <c r="P193" s="31"/>
      <c r="Q193" s="31"/>
      <c r="R193" s="31"/>
      <c r="S193" s="84"/>
      <c r="T193" s="84"/>
      <c r="U193" s="84"/>
      <c r="V193" s="84"/>
      <c r="W193" s="84"/>
      <c r="X193" s="101"/>
      <c r="Y193" s="101"/>
      <c r="Z193" s="84"/>
      <c r="AA193" s="84"/>
      <c r="AB193" s="180">
        <f>P193+Q193+R193+S193+T193+U193+V193+W193+X193+Y193+Z193+AA193-M193</f>
        <v>0</v>
      </c>
      <c r="AE193" s="116"/>
    </row>
    <row r="194" spans="1:31" ht="38.4" customHeight="1">
      <c r="A194" s="70"/>
      <c r="B194" s="148" t="s">
        <v>312</v>
      </c>
      <c r="C194" s="146">
        <v>414</v>
      </c>
      <c r="D194" s="149">
        <v>310</v>
      </c>
      <c r="E194" s="205" t="s">
        <v>308</v>
      </c>
      <c r="F194" s="22"/>
      <c r="G194" s="22"/>
      <c r="H194" s="22"/>
      <c r="I194" s="22"/>
      <c r="J194" s="22"/>
      <c r="K194" s="31">
        <v>533400400</v>
      </c>
      <c r="L194" s="102"/>
      <c r="M194" s="32"/>
      <c r="N194" s="31">
        <f t="shared" si="40"/>
        <v>533400400</v>
      </c>
      <c r="O194" s="32"/>
      <c r="P194" s="31"/>
      <c r="Q194" s="31"/>
      <c r="R194" s="31"/>
      <c r="S194" s="84"/>
      <c r="T194" s="84"/>
      <c r="U194" s="84"/>
      <c r="V194" s="84"/>
      <c r="W194" s="84"/>
      <c r="X194" s="101"/>
      <c r="Y194" s="101"/>
      <c r="Z194" s="84"/>
      <c r="AA194" s="84"/>
      <c r="AB194" s="180">
        <f>P194+Q194+R194+S194+T194+U194+V194+W194+X194+Y194+Z194+AA194-M194</f>
        <v>0</v>
      </c>
      <c r="AE194" s="116"/>
    </row>
    <row r="195" spans="1:31" ht="18" customHeight="1">
      <c r="A195" s="70"/>
      <c r="B195" s="63"/>
      <c r="C195" s="139"/>
      <c r="D195" s="139"/>
      <c r="E195" s="160" t="s">
        <v>105</v>
      </c>
      <c r="F195" s="153"/>
      <c r="G195" s="153"/>
      <c r="H195" s="153"/>
      <c r="I195" s="153"/>
      <c r="J195" s="153"/>
      <c r="K195" s="158">
        <f>K184+K185+K186+K187+K188+K189+K190+K191+K192+K193+K194</f>
        <v>3343721600</v>
      </c>
      <c r="L195" s="158">
        <f>L184+L185+L188+L189+L190+L191+L192+L193+L194</f>
        <v>0</v>
      </c>
      <c r="M195" s="158">
        <f>M184+M185+M188+M189+M190+M191+M192+M193+M194</f>
        <v>189847457</v>
      </c>
      <c r="N195" s="158">
        <f t="shared" ref="N195:AA195" si="41">N184+N185+N188+N189+N190+N191+N192+N193+N194</f>
        <v>2293716510</v>
      </c>
      <c r="O195" s="158">
        <f t="shared" si="41"/>
        <v>0</v>
      </c>
      <c r="P195" s="158">
        <f t="shared" si="41"/>
        <v>0</v>
      </c>
      <c r="Q195" s="158">
        <f t="shared" si="41"/>
        <v>0</v>
      </c>
      <c r="R195" s="158">
        <f t="shared" si="41"/>
        <v>0</v>
      </c>
      <c r="S195" s="158">
        <f t="shared" si="41"/>
        <v>0</v>
      </c>
      <c r="T195" s="158">
        <f t="shared" si="41"/>
        <v>0</v>
      </c>
      <c r="U195" s="158">
        <f t="shared" si="41"/>
        <v>0</v>
      </c>
      <c r="V195" s="158">
        <f t="shared" si="41"/>
        <v>0</v>
      </c>
      <c r="W195" s="158">
        <f t="shared" si="41"/>
        <v>0</v>
      </c>
      <c r="X195" s="158">
        <f t="shared" si="41"/>
        <v>0</v>
      </c>
      <c r="Y195" s="158">
        <f t="shared" si="41"/>
        <v>0</v>
      </c>
      <c r="Z195" s="158">
        <f t="shared" si="41"/>
        <v>0</v>
      </c>
      <c r="AA195" s="158">
        <f t="shared" si="41"/>
        <v>0</v>
      </c>
      <c r="AB195" s="158">
        <f>AB184+AB185+AB188+AB189+AB190+AB191+AB192+AB193+AB194</f>
        <v>0</v>
      </c>
      <c r="AE195" s="116"/>
    </row>
    <row r="196" spans="1:31" ht="18" customHeight="1">
      <c r="A196" s="70"/>
      <c r="B196" s="481" t="s">
        <v>39</v>
      </c>
      <c r="C196" s="482"/>
      <c r="D196" s="482"/>
      <c r="E196" s="483"/>
      <c r="F196" s="22"/>
      <c r="G196" s="22"/>
      <c r="H196" s="22"/>
      <c r="I196" s="22"/>
      <c r="J196" s="22"/>
      <c r="K196" s="157">
        <f>K153+K195</f>
        <v>3392956600</v>
      </c>
      <c r="L196" s="157">
        <f>L153+L195</f>
        <v>0</v>
      </c>
      <c r="M196" s="157">
        <f>M153+M195</f>
        <v>191002013.12</v>
      </c>
      <c r="N196" s="157">
        <f>N153+N195</f>
        <v>2341719853.8800001</v>
      </c>
      <c r="O196" s="157">
        <f>O153+O195</f>
        <v>26162</v>
      </c>
      <c r="P196" s="157">
        <f>193002014-2000000</f>
        <v>191002014</v>
      </c>
      <c r="Q196" s="157">
        <f t="shared" ref="Q196:AA196" si="42">Q153+Q195</f>
        <v>0</v>
      </c>
      <c r="R196" s="157">
        <f t="shared" si="42"/>
        <v>0</v>
      </c>
      <c r="S196" s="157">
        <f t="shared" si="42"/>
        <v>0</v>
      </c>
      <c r="T196" s="157">
        <f t="shared" si="42"/>
        <v>0</v>
      </c>
      <c r="U196" s="157">
        <f t="shared" si="42"/>
        <v>0</v>
      </c>
      <c r="V196" s="157">
        <f t="shared" si="42"/>
        <v>0</v>
      </c>
      <c r="W196" s="159">
        <f t="shared" si="42"/>
        <v>0</v>
      </c>
      <c r="X196" s="157">
        <f t="shared" si="42"/>
        <v>0</v>
      </c>
      <c r="Y196" s="157">
        <f t="shared" si="42"/>
        <v>0</v>
      </c>
      <c r="Z196" s="157">
        <f t="shared" si="42"/>
        <v>0</v>
      </c>
      <c r="AA196" s="157">
        <f t="shared" si="42"/>
        <v>0</v>
      </c>
      <c r="AB196" s="180">
        <f>P196+Q196+R196+S196+T196+U196+V196+W196+X196+Y196+Z196+AA196-M196</f>
        <v>0.87999999523162842</v>
      </c>
      <c r="AE196" s="116"/>
    </row>
    <row r="197" spans="1:31" ht="22.95" hidden="1" customHeight="1">
      <c r="B197" s="103"/>
      <c r="C197" s="103"/>
      <c r="D197" s="103"/>
      <c r="E197" s="103"/>
      <c r="K197" s="114"/>
      <c r="L197" s="10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</row>
    <row r="198" spans="1:31" ht="13.95" hidden="1" customHeight="1">
      <c r="B198" s="103"/>
      <c r="C198" s="103"/>
      <c r="D198" s="103"/>
      <c r="E198" s="167"/>
      <c r="K198" s="114"/>
      <c r="L198" s="10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spans="1:31" ht="13.95" hidden="1" customHeight="1">
      <c r="B199" s="103"/>
      <c r="C199" s="103"/>
      <c r="D199" s="103"/>
      <c r="E199" s="103"/>
      <c r="L199" s="10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28"/>
    </row>
    <row r="200" spans="1:31" ht="36" customHeight="1">
      <c r="B200" s="103"/>
      <c r="C200" s="103"/>
      <c r="D200" s="103"/>
      <c r="E200" s="103"/>
      <c r="K200" s="114"/>
      <c r="L200" s="10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Y200" s="161"/>
      <c r="Z200" s="114"/>
      <c r="AA200" s="114"/>
      <c r="AB200" s="188"/>
    </row>
    <row r="201" spans="1:31" ht="13.5" customHeight="1">
      <c r="B201" s="103"/>
      <c r="C201" s="103"/>
      <c r="D201" s="103"/>
      <c r="E201" s="103"/>
      <c r="K201" s="7"/>
      <c r="L201" s="104"/>
      <c r="M201" s="105"/>
      <c r="O201" s="187" t="s">
        <v>244</v>
      </c>
      <c r="Q201" s="9"/>
      <c r="R201" s="194"/>
      <c r="S201" s="1"/>
      <c r="T201" s="1"/>
      <c r="U201" s="1"/>
      <c r="V201" s="1"/>
      <c r="W201" s="1"/>
      <c r="Z201" s="119">
        <f>P196+Q196+R196+S196+T196+U196+V196+W196+X196+Y196+Z196+AA196</f>
        <v>191002014</v>
      </c>
      <c r="AA201" s="194"/>
      <c r="AB201" s="190">
        <f>P196</f>
        <v>191002014</v>
      </c>
    </row>
    <row r="202" spans="1:31" ht="13.2" customHeight="1">
      <c r="E202" s="9"/>
      <c r="M202" s="7"/>
      <c r="O202" s="109" t="s">
        <v>257</v>
      </c>
      <c r="R202" s="107"/>
      <c r="S202" s="108"/>
      <c r="W202" s="108"/>
      <c r="X202" s="108"/>
      <c r="Y202" s="108"/>
      <c r="Z202" s="108"/>
      <c r="AA202" s="108"/>
    </row>
    <row r="203" spans="1:31" ht="13.2" customHeight="1">
      <c r="F203" s="191"/>
      <c r="G203" s="191"/>
      <c r="H203" s="191"/>
      <c r="I203" s="191"/>
      <c r="J203" s="191"/>
      <c r="K203" s="106"/>
      <c r="L203" s="191"/>
      <c r="M203" s="8"/>
      <c r="O203" s="171" t="s">
        <v>258</v>
      </c>
      <c r="Q203" s="112"/>
      <c r="R203" s="109"/>
      <c r="S203" s="189"/>
      <c r="T203" s="189"/>
      <c r="U203" s="189"/>
      <c r="V203" s="189"/>
      <c r="W203" s="189"/>
      <c r="Z203" s="172">
        <f>377443100+139640900</f>
        <v>517084000</v>
      </c>
      <c r="AA203" s="189"/>
    </row>
    <row r="204" spans="1:31" ht="12">
      <c r="A204" s="3" t="s">
        <v>139</v>
      </c>
      <c r="E204" s="110"/>
      <c r="F204" s="111"/>
      <c r="G204" s="111"/>
      <c r="H204" s="111"/>
      <c r="I204" s="111"/>
      <c r="J204" s="111"/>
      <c r="K204" s="111"/>
      <c r="M204" s="8"/>
      <c r="O204" s="171" t="s">
        <v>259</v>
      </c>
      <c r="S204" s="113"/>
      <c r="T204" s="113"/>
      <c r="U204" s="113"/>
      <c r="V204" s="113"/>
      <c r="W204" s="113"/>
      <c r="Z204" s="172">
        <f>Z201-Z203</f>
        <v>-326081986</v>
      </c>
      <c r="AA204" s="113"/>
    </row>
    <row r="205" spans="1:31" ht="13.2" hidden="1" customHeight="1">
      <c r="E205" s="111"/>
      <c r="F205" s="111"/>
      <c r="G205" s="111"/>
      <c r="H205" s="111"/>
      <c r="I205" s="111"/>
      <c r="J205" s="111"/>
      <c r="K205" s="111"/>
      <c r="M205" s="8"/>
      <c r="N205" s="10" t="s">
        <v>246</v>
      </c>
      <c r="O205" s="10" t="s">
        <v>256</v>
      </c>
      <c r="P205" s="10"/>
      <c r="Q205" s="10"/>
      <c r="S205" s="109"/>
      <c r="T205" s="484" t="s">
        <v>226</v>
      </c>
      <c r="U205" s="484"/>
      <c r="V205" s="484"/>
      <c r="W205" s="484"/>
      <c r="X205" s="484"/>
      <c r="Y205" s="484"/>
      <c r="Z205" s="484"/>
      <c r="AA205" s="109"/>
      <c r="AB205" s="151">
        <v>0.95</v>
      </c>
    </row>
    <row r="207" spans="1:31" ht="12">
      <c r="B207" s="3" t="s">
        <v>222</v>
      </c>
      <c r="O207" s="7" t="s">
        <v>245</v>
      </c>
      <c r="AB207" s="150">
        <f>M196/Z201*100</f>
        <v>99.999999539271883</v>
      </c>
    </row>
  </sheetData>
  <mergeCells count="20">
    <mergeCell ref="B196:E196"/>
    <mergeCell ref="T205:Z205"/>
    <mergeCell ref="J4:J5"/>
    <mergeCell ref="K4:K5"/>
    <mergeCell ref="L4:L5"/>
    <mergeCell ref="M4:M5"/>
    <mergeCell ref="N4:N5"/>
    <mergeCell ref="O4:O5"/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</mergeCells>
  <pageMargins left="0.35433070866141736" right="0.23622047244094491" top="0.31496062992125984" bottom="0.19685039370078741" header="0.23622047244094491" footer="0.23622047244094491"/>
  <pageSetup paperSize="9" scale="70" orientation="landscape" horizontalDpi="120" verticalDpi="144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zoomScaleSheetLayoutView="100" workbookViewId="0">
      <pane xSplit="10" ySplit="6" topLeftCell="M153" activePane="bottomRight" state="frozen"/>
      <selection activeCell="AB6" sqref="AB6"/>
      <selection pane="topRight" activeCell="AB6" sqref="AB6"/>
      <selection pane="bottomLeft" activeCell="AB6" sqref="AB6"/>
      <selection pane="bottomRight" activeCell="AB6" sqref="AB6"/>
    </sheetView>
  </sheetViews>
  <sheetFormatPr defaultColWidth="9.109375" defaultRowHeight="11.4"/>
  <cols>
    <col min="1" max="1" width="8" style="3" hidden="1" customWidth="1"/>
    <col min="2" max="2" width="10.44140625" style="3" customWidth="1"/>
    <col min="3" max="3" width="7.33203125" style="3" customWidth="1"/>
    <col min="4" max="4" width="8.6640625" style="3" customWidth="1"/>
    <col min="5" max="5" width="42.33203125" style="3" customWidth="1"/>
    <col min="6" max="7" width="10.44140625" style="3" hidden="1" customWidth="1"/>
    <col min="8" max="8" width="10.109375" style="3" hidden="1" customWidth="1"/>
    <col min="9" max="9" width="9.5546875" style="3" hidden="1" customWidth="1"/>
    <col min="10" max="10" width="0.109375" style="3" customWidth="1"/>
    <col min="11" max="11" width="17" style="3" customWidth="1"/>
    <col min="12" max="12" width="13.6640625" style="3" hidden="1" customWidth="1"/>
    <col min="13" max="13" width="16.33203125" style="4" customWidth="1"/>
    <col min="14" max="14" width="16.6640625" style="4" customWidth="1"/>
    <col min="15" max="15" width="13.33203125" style="4" customWidth="1"/>
    <col min="16" max="16" width="15.109375" style="3" customWidth="1"/>
    <col min="17" max="17" width="14.33203125" style="3" customWidth="1"/>
    <col min="18" max="18" width="15.5546875" style="3" hidden="1" customWidth="1"/>
    <col min="19" max="20" width="14.6640625" style="3" hidden="1" customWidth="1"/>
    <col min="21" max="21" width="15.109375" style="3" hidden="1" customWidth="1"/>
    <col min="22" max="22" width="15.33203125" style="3" hidden="1" customWidth="1"/>
    <col min="23" max="23" width="14.109375" style="3" hidden="1" customWidth="1"/>
    <col min="24" max="24" width="14.6640625" style="3" hidden="1" customWidth="1"/>
    <col min="25" max="25" width="1.5546875" style="3" hidden="1" customWidth="1"/>
    <col min="26" max="26" width="1.6640625" style="3" hidden="1" customWidth="1"/>
    <col min="27" max="27" width="11.44140625" style="3" hidden="1" customWidth="1"/>
    <col min="28" max="28" width="16.33203125" style="3" customWidth="1"/>
    <col min="29" max="29" width="11.88671875" style="3" customWidth="1"/>
    <col min="30" max="30" width="0.109375" style="3" customWidth="1"/>
    <col min="31" max="31" width="13" style="3" customWidth="1"/>
    <col min="32" max="32" width="10.109375" style="3" bestFit="1" customWidth="1"/>
    <col min="33" max="16384" width="9.109375" style="3"/>
  </cols>
  <sheetData>
    <row r="1" spans="1:28" s="1" customFormat="1" ht="17.25" customHeight="1">
      <c r="B1" s="468" t="s">
        <v>0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</row>
    <row r="2" spans="1:28" s="1" customFormat="1" ht="15" customHeight="1">
      <c r="B2" s="469" t="s">
        <v>288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</row>
    <row r="3" spans="1:28" s="1" customFormat="1" ht="13.2" customHeight="1">
      <c r="E3" s="166"/>
      <c r="M3" s="2"/>
      <c r="N3" s="2"/>
      <c r="O3" s="2"/>
      <c r="S3" s="1" t="s">
        <v>267</v>
      </c>
    </row>
    <row r="4" spans="1:28" ht="43.95" customHeight="1">
      <c r="A4" s="470" t="s">
        <v>142</v>
      </c>
      <c r="B4" s="470" t="s">
        <v>210</v>
      </c>
      <c r="C4" s="470" t="s">
        <v>215</v>
      </c>
      <c r="D4" s="470" t="s">
        <v>263</v>
      </c>
      <c r="E4" s="472" t="s">
        <v>1</v>
      </c>
      <c r="F4" s="473" t="s">
        <v>36</v>
      </c>
      <c r="G4" s="473" t="s">
        <v>37</v>
      </c>
      <c r="H4" s="216"/>
      <c r="I4" s="474" t="s">
        <v>33</v>
      </c>
      <c r="J4" s="470" t="s">
        <v>31</v>
      </c>
      <c r="K4" s="485" t="s">
        <v>289</v>
      </c>
      <c r="L4" s="470" t="s">
        <v>275</v>
      </c>
      <c r="M4" s="486" t="s">
        <v>321</v>
      </c>
      <c r="N4" s="488" t="s">
        <v>68</v>
      </c>
      <c r="O4" s="489" t="s">
        <v>320</v>
      </c>
      <c r="P4" s="476" t="s">
        <v>87</v>
      </c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8"/>
      <c r="AB4" s="479" t="s">
        <v>322</v>
      </c>
    </row>
    <row r="5" spans="1:28" ht="21.6" customHeight="1">
      <c r="A5" s="471"/>
      <c r="B5" s="471"/>
      <c r="C5" s="471"/>
      <c r="D5" s="471"/>
      <c r="E5" s="472"/>
      <c r="F5" s="473"/>
      <c r="G5" s="473"/>
      <c r="H5" s="217" t="s">
        <v>35</v>
      </c>
      <c r="I5" s="475"/>
      <c r="J5" s="471"/>
      <c r="K5" s="472"/>
      <c r="L5" s="471"/>
      <c r="M5" s="487"/>
      <c r="N5" s="487"/>
      <c r="O5" s="489"/>
      <c r="P5" s="217" t="s">
        <v>50</v>
      </c>
      <c r="Q5" s="217" t="s">
        <v>51</v>
      </c>
      <c r="R5" s="217" t="s">
        <v>52</v>
      </c>
      <c r="S5" s="217" t="s">
        <v>48</v>
      </c>
      <c r="T5" s="217" t="s">
        <v>54</v>
      </c>
      <c r="U5" s="217" t="s">
        <v>58</v>
      </c>
      <c r="V5" s="217" t="s">
        <v>60</v>
      </c>
      <c r="W5" s="217" t="s">
        <v>61</v>
      </c>
      <c r="X5" s="217" t="s">
        <v>62</v>
      </c>
      <c r="Y5" s="217" t="s">
        <v>65</v>
      </c>
      <c r="Z5" s="217" t="s">
        <v>66</v>
      </c>
      <c r="AA5" s="217" t="s">
        <v>67</v>
      </c>
      <c r="AB5" s="480"/>
    </row>
    <row r="6" spans="1:28" s="194" customFormat="1" ht="13.2" customHeight="1">
      <c r="A6" s="12">
        <v>1</v>
      </c>
      <c r="B6" s="217">
        <v>1</v>
      </c>
      <c r="C6" s="217">
        <v>2</v>
      </c>
      <c r="D6" s="217">
        <v>3</v>
      </c>
      <c r="E6" s="217">
        <v>4</v>
      </c>
      <c r="F6" s="12">
        <v>3</v>
      </c>
      <c r="G6" s="12"/>
      <c r="H6" s="12"/>
      <c r="I6" s="13"/>
      <c r="J6" s="14">
        <v>8</v>
      </c>
      <c r="K6" s="15">
        <v>5</v>
      </c>
      <c r="L6" s="15">
        <v>6</v>
      </c>
      <c r="M6" s="16">
        <v>6</v>
      </c>
      <c r="N6" s="16">
        <v>7</v>
      </c>
      <c r="O6" s="16">
        <v>8</v>
      </c>
      <c r="P6" s="11">
        <v>9</v>
      </c>
      <c r="Q6" s="11">
        <v>10</v>
      </c>
      <c r="R6" s="11">
        <v>9</v>
      </c>
      <c r="S6" s="11">
        <v>10</v>
      </c>
      <c r="T6" s="11">
        <v>10</v>
      </c>
      <c r="U6" s="11">
        <v>10</v>
      </c>
      <c r="V6" s="11">
        <v>9</v>
      </c>
      <c r="W6" s="11">
        <v>9</v>
      </c>
      <c r="X6" s="11">
        <v>9</v>
      </c>
      <c r="Y6" s="11">
        <v>9</v>
      </c>
      <c r="Z6" s="11">
        <v>10</v>
      </c>
      <c r="AA6" s="11">
        <v>11</v>
      </c>
      <c r="AB6" s="11">
        <v>11</v>
      </c>
    </row>
    <row r="7" spans="1:28" s="194" customFormat="1" ht="30" customHeight="1">
      <c r="A7" s="12"/>
      <c r="B7" s="140"/>
      <c r="C7" s="140"/>
      <c r="D7" s="17">
        <v>210</v>
      </c>
      <c r="E7" s="18" t="s">
        <v>141</v>
      </c>
      <c r="F7" s="19">
        <f>SUM(F8:F11)</f>
        <v>16238</v>
      </c>
      <c r="G7" s="19">
        <f>SUM(G8:G11)</f>
        <v>16086</v>
      </c>
      <c r="H7" s="19">
        <f>SUM(H8:H11)</f>
        <v>14538.3</v>
      </c>
      <c r="I7" s="20"/>
      <c r="J7" s="21">
        <f t="shared" ref="J7:L7" si="0">SUM(J8:J11)</f>
        <v>18528.036799999998</v>
      </c>
      <c r="K7" s="136">
        <f>SUM(K8:K11)</f>
        <v>34167700</v>
      </c>
      <c r="L7" s="135">
        <f t="shared" si="0"/>
        <v>0</v>
      </c>
      <c r="M7" s="136">
        <f>SUM(M8:M11)</f>
        <v>3734751.5700000003</v>
      </c>
      <c r="N7" s="136">
        <f>SUM(N8:N11)</f>
        <v>30432948.43</v>
      </c>
      <c r="O7" s="136">
        <f>SUM(O8:O11)</f>
        <v>38990.400000000001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8" customHeight="1">
      <c r="A8" s="79"/>
      <c r="B8" s="195"/>
      <c r="C8" s="141">
        <v>111</v>
      </c>
      <c r="D8" s="23">
        <v>211</v>
      </c>
      <c r="E8" s="24" t="s">
        <v>14</v>
      </c>
      <c r="F8" s="25">
        <v>12772</v>
      </c>
      <c r="G8" s="25">
        <v>12739</v>
      </c>
      <c r="H8" s="25">
        <v>11572.8</v>
      </c>
      <c r="I8" s="26"/>
      <c r="J8" s="27">
        <v>14586.4</v>
      </c>
      <c r="K8" s="100">
        <v>25340800</v>
      </c>
      <c r="L8" s="28"/>
      <c r="M8" s="30">
        <v>2504971.23</v>
      </c>
      <c r="N8" s="31">
        <f>(K8-M8)</f>
        <v>22835828.77</v>
      </c>
      <c r="O8" s="32"/>
      <c r="P8" s="3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0.399999999999999" hidden="1" customHeight="1">
      <c r="A9" s="79"/>
      <c r="B9" s="141"/>
      <c r="C9" s="141"/>
      <c r="D9" s="23">
        <v>211</v>
      </c>
      <c r="E9" s="24" t="s">
        <v>47</v>
      </c>
      <c r="F9" s="25"/>
      <c r="G9" s="25"/>
      <c r="H9" s="25"/>
      <c r="I9" s="26"/>
      <c r="J9" s="27"/>
      <c r="K9" s="100"/>
      <c r="L9" s="28"/>
      <c r="M9" s="30"/>
      <c r="N9" s="29"/>
      <c r="O9" s="32"/>
      <c r="P9" s="2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39" customHeight="1">
      <c r="A10" s="117"/>
      <c r="B10" s="140"/>
      <c r="C10" s="140">
        <v>112</v>
      </c>
      <c r="D10" s="23">
        <v>212</v>
      </c>
      <c r="E10" s="24" t="s">
        <v>290</v>
      </c>
      <c r="F10" s="34">
        <v>120</v>
      </c>
      <c r="G10" s="34">
        <v>101</v>
      </c>
      <c r="H10" s="34">
        <v>101</v>
      </c>
      <c r="I10" s="35"/>
      <c r="J10" s="27">
        <f>F10*1</f>
        <v>120</v>
      </c>
      <c r="K10" s="100">
        <v>1174000</v>
      </c>
      <c r="L10" s="28"/>
      <c r="M10" s="32">
        <v>89057.5</v>
      </c>
      <c r="N10" s="31">
        <f>(K10-M10)</f>
        <v>1084942.5</v>
      </c>
      <c r="O10" s="36">
        <v>38990.400000000001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7.399999999999999" customHeight="1">
      <c r="A11" s="22"/>
      <c r="B11" s="23"/>
      <c r="C11" s="23">
        <v>119</v>
      </c>
      <c r="D11" s="37">
        <v>213</v>
      </c>
      <c r="E11" s="38" t="s">
        <v>112</v>
      </c>
      <c r="F11" s="39">
        <v>3346</v>
      </c>
      <c r="G11" s="39">
        <v>3246</v>
      </c>
      <c r="H11" s="39">
        <v>2864.5</v>
      </c>
      <c r="I11" s="26"/>
      <c r="J11" s="40">
        <f>J8*26.2/100</f>
        <v>3821.6367999999998</v>
      </c>
      <c r="K11" s="100">
        <v>7652900</v>
      </c>
      <c r="L11" s="41"/>
      <c r="M11" s="30">
        <v>1140722.8400000001</v>
      </c>
      <c r="N11" s="31">
        <f>(K11-M11)</f>
        <v>6512177.1600000001</v>
      </c>
      <c r="O11" s="3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7.399999999999999" customHeight="1">
      <c r="A12" s="22"/>
      <c r="B12" s="23"/>
      <c r="C12" s="23"/>
      <c r="D12" s="42">
        <v>220</v>
      </c>
      <c r="E12" s="43" t="s">
        <v>15</v>
      </c>
      <c r="F12" s="44">
        <f>F13+F22+F29+F33+F36+F67</f>
        <v>2406.8000000000002</v>
      </c>
      <c r="G12" s="44">
        <f>G13+G22+G29+G33+G36+G67</f>
        <v>2196.3000000000002</v>
      </c>
      <c r="H12" s="44">
        <f>H13+H22+H29+H33+H36+H67</f>
        <v>1809.5700000000002</v>
      </c>
      <c r="I12" s="45"/>
      <c r="J12" s="46">
        <f t="shared" ref="J12:O12" si="1">J13+J22+J29+J33+J36+J67</f>
        <v>2513.4</v>
      </c>
      <c r="K12" s="132">
        <f t="shared" si="1"/>
        <v>7998400</v>
      </c>
      <c r="L12" s="174">
        <f t="shared" si="1"/>
        <v>0</v>
      </c>
      <c r="M12" s="134">
        <f t="shared" si="1"/>
        <v>492311.39999999997</v>
      </c>
      <c r="N12" s="129">
        <f t="shared" si="1"/>
        <v>7428988.5999999996</v>
      </c>
      <c r="O12" s="134">
        <f t="shared" si="1"/>
        <v>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9.2" customHeight="1">
      <c r="A13" s="22"/>
      <c r="B13" s="23"/>
      <c r="C13" s="23">
        <v>244</v>
      </c>
      <c r="D13" s="47">
        <v>221</v>
      </c>
      <c r="E13" s="48" t="s">
        <v>4</v>
      </c>
      <c r="F13" s="49">
        <f>F14+F15+F16</f>
        <v>587</v>
      </c>
      <c r="G13" s="49">
        <f>G14+G15+G16</f>
        <v>552</v>
      </c>
      <c r="H13" s="49">
        <f>H14+H15+H16</f>
        <v>424.7</v>
      </c>
      <c r="I13" s="50"/>
      <c r="J13" s="51">
        <f>J14+J15+J16</f>
        <v>587</v>
      </c>
      <c r="K13" s="54">
        <f>SUM(K14:K21)</f>
        <v>628000</v>
      </c>
      <c r="L13" s="52">
        <f>SUM(L14:L20)</f>
        <v>0</v>
      </c>
      <c r="M13" s="53">
        <f>SUM(M14:M21)</f>
        <v>30530.6</v>
      </c>
      <c r="N13" s="54">
        <f>SUM(N14:N21)</f>
        <v>597469.39999999991</v>
      </c>
      <c r="O13" s="54">
        <f>SUM(O14:O21)</f>
        <v>0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9.4" customHeight="1">
      <c r="A14" s="22">
        <v>1</v>
      </c>
      <c r="B14" s="55" t="s">
        <v>218</v>
      </c>
      <c r="C14" s="37">
        <v>244</v>
      </c>
      <c r="D14" s="55"/>
      <c r="E14" s="5" t="s">
        <v>44</v>
      </c>
      <c r="F14" s="22">
        <v>4.5999999999999996</v>
      </c>
      <c r="G14" s="22">
        <v>4.5</v>
      </c>
      <c r="H14" s="22">
        <v>2.4</v>
      </c>
      <c r="I14" s="35"/>
      <c r="J14" s="27">
        <f>F14*1</f>
        <v>4.5999999999999996</v>
      </c>
      <c r="K14" s="100">
        <v>81000</v>
      </c>
      <c r="L14" s="28"/>
      <c r="M14" s="32"/>
      <c r="N14" s="56">
        <f t="shared" ref="N14:N21" si="2">(K14-M14)</f>
        <v>81000</v>
      </c>
      <c r="O14" s="3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7.25" customHeight="1">
      <c r="A15" s="22">
        <v>2</v>
      </c>
      <c r="B15" s="145" t="s">
        <v>219</v>
      </c>
      <c r="C15" s="145">
        <v>244</v>
      </c>
      <c r="D15" s="145"/>
      <c r="E15" s="5" t="s">
        <v>74</v>
      </c>
      <c r="F15" s="22">
        <v>1.4</v>
      </c>
      <c r="G15" s="22">
        <v>1.5</v>
      </c>
      <c r="H15" s="22">
        <v>1.5</v>
      </c>
      <c r="I15" s="35"/>
      <c r="J15" s="27">
        <f>F15*1</f>
        <v>1.4</v>
      </c>
      <c r="K15" s="100">
        <v>2000</v>
      </c>
      <c r="L15" s="57"/>
      <c r="M15" s="32">
        <v>206</v>
      </c>
      <c r="N15" s="56">
        <f t="shared" si="2"/>
        <v>1794</v>
      </c>
      <c r="O15" s="36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33" customHeight="1">
      <c r="A16" s="22">
        <v>3</v>
      </c>
      <c r="B16" s="55" t="s">
        <v>220</v>
      </c>
      <c r="C16" s="55">
        <v>244</v>
      </c>
      <c r="D16" s="55"/>
      <c r="E16" s="5" t="s">
        <v>89</v>
      </c>
      <c r="F16" s="34">
        <v>581</v>
      </c>
      <c r="G16" s="34">
        <v>546</v>
      </c>
      <c r="H16" s="34">
        <v>420.8</v>
      </c>
      <c r="I16" s="35"/>
      <c r="J16" s="27">
        <f>F16*1</f>
        <v>581</v>
      </c>
      <c r="K16" s="100">
        <v>300000</v>
      </c>
      <c r="L16" s="57"/>
      <c r="M16" s="32">
        <v>3569.33</v>
      </c>
      <c r="N16" s="58">
        <f t="shared" si="2"/>
        <v>296430.67</v>
      </c>
      <c r="O16" s="3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4" customHeight="1">
      <c r="A17" s="22">
        <v>4</v>
      </c>
      <c r="B17" s="55" t="s">
        <v>143</v>
      </c>
      <c r="C17" s="55">
        <v>244</v>
      </c>
      <c r="D17" s="55"/>
      <c r="E17" s="5" t="s">
        <v>90</v>
      </c>
      <c r="F17" s="60"/>
      <c r="G17" s="60"/>
      <c r="H17" s="60"/>
      <c r="I17" s="61"/>
      <c r="J17" s="27"/>
      <c r="K17" s="100">
        <v>1000</v>
      </c>
      <c r="L17" s="57"/>
      <c r="M17" s="36"/>
      <c r="N17" s="58">
        <f t="shared" si="2"/>
        <v>1000</v>
      </c>
      <c r="O17" s="3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5.5" customHeight="1">
      <c r="A18" s="22">
        <v>5</v>
      </c>
      <c r="B18" s="55" t="s">
        <v>144</v>
      </c>
      <c r="C18" s="138">
        <v>244</v>
      </c>
      <c r="D18" s="138"/>
      <c r="E18" s="59" t="s">
        <v>233</v>
      </c>
      <c r="F18" s="60"/>
      <c r="G18" s="60"/>
      <c r="H18" s="60"/>
      <c r="I18" s="61"/>
      <c r="J18" s="27"/>
      <c r="K18" s="100">
        <v>160000</v>
      </c>
      <c r="L18" s="57"/>
      <c r="M18" s="36">
        <v>9436.4599999999991</v>
      </c>
      <c r="N18" s="31">
        <f t="shared" si="2"/>
        <v>150563.54</v>
      </c>
      <c r="O18" s="36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0.199999999999999" hidden="1" customHeight="1">
      <c r="A19" s="22">
        <v>5</v>
      </c>
      <c r="B19" s="55" t="s">
        <v>144</v>
      </c>
      <c r="C19" s="55">
        <v>244</v>
      </c>
      <c r="D19" s="55"/>
      <c r="E19" s="62" t="s">
        <v>46</v>
      </c>
      <c r="F19" s="60"/>
      <c r="G19" s="60"/>
      <c r="H19" s="60"/>
      <c r="I19" s="61"/>
      <c r="J19" s="27"/>
      <c r="K19" s="100">
        <v>0</v>
      </c>
      <c r="L19" s="57"/>
      <c r="M19" s="36"/>
      <c r="N19" s="31">
        <f t="shared" si="2"/>
        <v>0</v>
      </c>
      <c r="O19" s="3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19.95" customHeight="1">
      <c r="A20" s="22">
        <v>6</v>
      </c>
      <c r="B20" s="55" t="s">
        <v>145</v>
      </c>
      <c r="C20" s="55">
        <v>244</v>
      </c>
      <c r="D20" s="55"/>
      <c r="E20" s="5" t="s">
        <v>40</v>
      </c>
      <c r="F20" s="60"/>
      <c r="G20" s="60"/>
      <c r="H20" s="60"/>
      <c r="I20" s="61"/>
      <c r="J20" s="27"/>
      <c r="K20" s="100">
        <v>84000</v>
      </c>
      <c r="L20" s="57"/>
      <c r="M20" s="36">
        <f>1620+15698.81</f>
        <v>17318.809999999998</v>
      </c>
      <c r="N20" s="56">
        <f t="shared" si="2"/>
        <v>66681.19</v>
      </c>
      <c r="O20" s="36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ht="12" hidden="1" customHeight="1">
      <c r="A21" s="22">
        <v>185</v>
      </c>
      <c r="B21" s="55">
        <v>6420090</v>
      </c>
      <c r="C21" s="55"/>
      <c r="D21" s="55"/>
      <c r="E21" s="5" t="s">
        <v>53</v>
      </c>
      <c r="F21" s="60"/>
      <c r="G21" s="60"/>
      <c r="H21" s="60"/>
      <c r="I21" s="61"/>
      <c r="J21" s="27"/>
      <c r="K21" s="28"/>
      <c r="L21" s="57"/>
      <c r="M21" s="36"/>
      <c r="N21" s="31">
        <f t="shared" si="2"/>
        <v>0</v>
      </c>
      <c r="O21" s="36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ht="22.2" customHeight="1">
      <c r="A22" s="22"/>
      <c r="B22" s="47"/>
      <c r="C22" s="47"/>
      <c r="D22" s="47">
        <v>222</v>
      </c>
      <c r="E22" s="63" t="s">
        <v>3</v>
      </c>
      <c r="F22" s="64">
        <f>SUM(F23:F28)</f>
        <v>310</v>
      </c>
      <c r="G22" s="64">
        <f>SUM(G23:G28)</f>
        <v>310</v>
      </c>
      <c r="H22" s="64">
        <f>SUM(H23:H28)</f>
        <v>271.3</v>
      </c>
      <c r="I22" s="65"/>
      <c r="J22" s="51">
        <f t="shared" ref="J22:O22" si="3">SUM(J23:J28)</f>
        <v>310</v>
      </c>
      <c r="K22" s="137">
        <f t="shared" si="3"/>
        <v>3400</v>
      </c>
      <c r="L22" s="52">
        <f t="shared" si="3"/>
        <v>0</v>
      </c>
      <c r="M22" s="53">
        <f t="shared" si="3"/>
        <v>0</v>
      </c>
      <c r="N22" s="54">
        <f>SUM(N23:N28)</f>
        <v>3400</v>
      </c>
      <c r="O22" s="53">
        <f t="shared" si="3"/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25.95" hidden="1" customHeight="1">
      <c r="A23" s="22">
        <v>7</v>
      </c>
      <c r="B23" s="55" t="s">
        <v>146</v>
      </c>
      <c r="C23" s="55"/>
      <c r="D23" s="55"/>
      <c r="E23" s="5" t="s">
        <v>41</v>
      </c>
      <c r="F23" s="22"/>
      <c r="G23" s="22"/>
      <c r="H23" s="22"/>
      <c r="I23" s="35"/>
      <c r="J23" s="27">
        <f>F23*1</f>
        <v>0</v>
      </c>
      <c r="K23" s="28">
        <f>1200-1200</f>
        <v>0</v>
      </c>
      <c r="L23" s="57"/>
      <c r="M23" s="32"/>
      <c r="N23" s="31">
        <f t="shared" ref="N23:N28" si="4">(K23-M23)</f>
        <v>0</v>
      </c>
      <c r="O23" s="36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ht="19.95" hidden="1" customHeight="1">
      <c r="A24" s="22">
        <v>8</v>
      </c>
      <c r="B24" s="55" t="s">
        <v>147</v>
      </c>
      <c r="C24" s="55"/>
      <c r="D24" s="55"/>
      <c r="E24" s="5" t="s">
        <v>111</v>
      </c>
      <c r="F24" s="22"/>
      <c r="G24" s="22"/>
      <c r="H24" s="22"/>
      <c r="I24" s="35"/>
      <c r="J24" s="27"/>
      <c r="K24" s="100">
        <v>0</v>
      </c>
      <c r="L24" s="57"/>
      <c r="M24" s="32"/>
      <c r="N24" s="31">
        <f t="shared" si="4"/>
        <v>0</v>
      </c>
      <c r="O24" s="36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9.95" hidden="1" customHeight="1">
      <c r="A25" s="22">
        <v>9</v>
      </c>
      <c r="B25" s="55" t="s">
        <v>148</v>
      </c>
      <c r="C25" s="55"/>
      <c r="D25" s="55"/>
      <c r="E25" s="5" t="s">
        <v>129</v>
      </c>
      <c r="F25" s="22"/>
      <c r="G25" s="22"/>
      <c r="H25" s="22"/>
      <c r="I25" s="35"/>
      <c r="J25" s="27"/>
      <c r="K25" s="100">
        <v>0</v>
      </c>
      <c r="L25" s="57"/>
      <c r="M25" s="32"/>
      <c r="N25" s="31">
        <f t="shared" si="4"/>
        <v>0</v>
      </c>
      <c r="O25" s="36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9.95" customHeight="1">
      <c r="A26" s="22">
        <v>10</v>
      </c>
      <c r="B26" s="55" t="s">
        <v>149</v>
      </c>
      <c r="C26" s="55">
        <v>244</v>
      </c>
      <c r="D26" s="55"/>
      <c r="E26" s="5" t="s">
        <v>136</v>
      </c>
      <c r="F26" s="22"/>
      <c r="G26" s="22"/>
      <c r="H26" s="22"/>
      <c r="I26" s="35"/>
      <c r="J26" s="27"/>
      <c r="K26" s="100">
        <v>200</v>
      </c>
      <c r="L26" s="57"/>
      <c r="M26" s="32"/>
      <c r="N26" s="31">
        <f t="shared" si="4"/>
        <v>200</v>
      </c>
      <c r="O26" s="36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21.6" customHeight="1">
      <c r="A27" s="22">
        <v>11</v>
      </c>
      <c r="B27" s="55" t="s">
        <v>150</v>
      </c>
      <c r="C27" s="55">
        <v>244</v>
      </c>
      <c r="D27" s="55"/>
      <c r="E27" s="5" t="s">
        <v>138</v>
      </c>
      <c r="F27" s="34">
        <v>300</v>
      </c>
      <c r="G27" s="34">
        <v>297</v>
      </c>
      <c r="H27" s="34">
        <v>259.7</v>
      </c>
      <c r="I27" s="35"/>
      <c r="J27" s="27">
        <f>F27*1</f>
        <v>300</v>
      </c>
      <c r="K27" s="100">
        <v>3200</v>
      </c>
      <c r="L27" s="57"/>
      <c r="M27" s="32"/>
      <c r="N27" s="31">
        <f t="shared" si="4"/>
        <v>3200</v>
      </c>
      <c r="O27" s="3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ht="28.95" hidden="1" customHeight="1">
      <c r="A28" s="22">
        <v>180</v>
      </c>
      <c r="B28" s="55">
        <v>6011000</v>
      </c>
      <c r="C28" s="55"/>
      <c r="D28" s="55"/>
      <c r="E28" s="5" t="s">
        <v>30</v>
      </c>
      <c r="F28" s="22">
        <v>10</v>
      </c>
      <c r="G28" s="22">
        <v>13</v>
      </c>
      <c r="H28" s="22">
        <v>11.6</v>
      </c>
      <c r="I28" s="35"/>
      <c r="J28" s="27">
        <f>F28*1</f>
        <v>10</v>
      </c>
      <c r="K28" s="100">
        <f>15000-15000</f>
        <v>0</v>
      </c>
      <c r="L28" s="57"/>
      <c r="M28" s="32"/>
      <c r="N28" s="31">
        <f t="shared" si="4"/>
        <v>0</v>
      </c>
      <c r="O28" s="36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9.95" customHeight="1">
      <c r="A29" s="22"/>
      <c r="B29" s="47"/>
      <c r="C29" s="47"/>
      <c r="D29" s="47">
        <v>223</v>
      </c>
      <c r="E29" s="63" t="s">
        <v>16</v>
      </c>
      <c r="F29" s="64">
        <f>SUM(F30:F32)</f>
        <v>547</v>
      </c>
      <c r="G29" s="64">
        <f>SUM(G30:G32)</f>
        <v>419</v>
      </c>
      <c r="H29" s="64">
        <f>SUM(H30:H32)</f>
        <v>356.9</v>
      </c>
      <c r="I29" s="65"/>
      <c r="J29" s="51">
        <f t="shared" ref="J29:L29" si="5">SUM(J30:J32)</f>
        <v>588.4</v>
      </c>
      <c r="K29" s="54">
        <f t="shared" si="5"/>
        <v>1104700</v>
      </c>
      <c r="L29" s="52">
        <f t="shared" si="5"/>
        <v>0</v>
      </c>
      <c r="M29" s="53">
        <f>SUM(M30:M32)</f>
        <v>283185.45999999996</v>
      </c>
      <c r="N29" s="54">
        <f>SUM(N30:N32)</f>
        <v>821514.54</v>
      </c>
      <c r="O29" s="53">
        <f>SUM(O30:O32)</f>
        <v>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ht="20.399999999999999" customHeight="1">
      <c r="A30" s="22">
        <v>12</v>
      </c>
      <c r="B30" s="66" t="s">
        <v>151</v>
      </c>
      <c r="C30" s="66">
        <v>244</v>
      </c>
      <c r="D30" s="66">
        <v>1001</v>
      </c>
      <c r="E30" s="5" t="s">
        <v>229</v>
      </c>
      <c r="F30" s="22">
        <v>279</v>
      </c>
      <c r="G30" s="22">
        <v>216</v>
      </c>
      <c r="H30" s="22">
        <v>173.1</v>
      </c>
      <c r="I30" s="35"/>
      <c r="J30" s="67">
        <v>306.89999999999998</v>
      </c>
      <c r="K30" s="124">
        <v>604400</v>
      </c>
      <c r="L30" s="57"/>
      <c r="M30" s="32">
        <v>207883.97</v>
      </c>
      <c r="N30" s="31">
        <f>(K30-M30)</f>
        <v>396516.03</v>
      </c>
      <c r="O30" s="36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21.6" customHeight="1">
      <c r="A31" s="22">
        <v>171</v>
      </c>
      <c r="B31" s="66" t="s">
        <v>216</v>
      </c>
      <c r="C31" s="66">
        <v>244</v>
      </c>
      <c r="D31" s="66">
        <v>1003</v>
      </c>
      <c r="E31" s="5" t="s">
        <v>291</v>
      </c>
      <c r="F31" s="22">
        <v>237.5</v>
      </c>
      <c r="G31" s="22">
        <v>187.5</v>
      </c>
      <c r="H31" s="22">
        <v>173.9</v>
      </c>
      <c r="I31" s="35"/>
      <c r="J31" s="67">
        <v>266</v>
      </c>
      <c r="K31" s="100">
        <v>475000</v>
      </c>
      <c r="L31" s="57"/>
      <c r="M31" s="32">
        <f>68146.76+4459.49</f>
        <v>72606.25</v>
      </c>
      <c r="N31" s="31">
        <f>(K31-M31)</f>
        <v>402393.75</v>
      </c>
      <c r="O31" s="36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21" customHeight="1">
      <c r="A32" s="22">
        <v>173</v>
      </c>
      <c r="B32" s="66" t="s">
        <v>217</v>
      </c>
      <c r="C32" s="66">
        <v>244</v>
      </c>
      <c r="D32" s="66">
        <v>1004</v>
      </c>
      <c r="E32" s="5" t="s">
        <v>292</v>
      </c>
      <c r="F32" s="22">
        <v>30.5</v>
      </c>
      <c r="G32" s="22">
        <v>15.5</v>
      </c>
      <c r="H32" s="22">
        <v>9.9</v>
      </c>
      <c r="I32" s="35"/>
      <c r="J32" s="27">
        <v>15.5</v>
      </c>
      <c r="K32" s="100">
        <v>25300</v>
      </c>
      <c r="L32" s="57"/>
      <c r="M32" s="32">
        <v>2695.24</v>
      </c>
      <c r="N32" s="31">
        <f>(K32-M32)</f>
        <v>22604.760000000002</v>
      </c>
      <c r="O32" s="36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5" customHeight="1">
      <c r="A33" s="22"/>
      <c r="B33" s="47"/>
      <c r="C33" s="47"/>
      <c r="D33" s="47">
        <v>224</v>
      </c>
      <c r="E33" s="63" t="s">
        <v>17</v>
      </c>
      <c r="F33" s="64">
        <f>SUM(F34:F35)</f>
        <v>0</v>
      </c>
      <c r="G33" s="64">
        <f>SUM(G34:G35)</f>
        <v>0</v>
      </c>
      <c r="H33" s="64">
        <f>SUM(H34:H35)</f>
        <v>0</v>
      </c>
      <c r="I33" s="65"/>
      <c r="J33" s="51">
        <f t="shared" ref="J33:L33" si="6">SUM(J34:J35)</f>
        <v>0</v>
      </c>
      <c r="K33" s="52">
        <f t="shared" si="6"/>
        <v>100</v>
      </c>
      <c r="L33" s="52">
        <f t="shared" si="6"/>
        <v>0</v>
      </c>
      <c r="M33" s="53">
        <f>SUM(M34:M35)</f>
        <v>0</v>
      </c>
      <c r="N33" s="54">
        <f>SUM(N34:N35)</f>
        <v>100</v>
      </c>
      <c r="O33" s="36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19.2" customHeight="1">
      <c r="A34" s="22">
        <v>15</v>
      </c>
      <c r="B34" s="68" t="s">
        <v>293</v>
      </c>
      <c r="C34" s="68">
        <v>244</v>
      </c>
      <c r="D34" s="68"/>
      <c r="E34" s="5" t="s">
        <v>135</v>
      </c>
      <c r="F34" s="22"/>
      <c r="G34" s="22"/>
      <c r="H34" s="22"/>
      <c r="I34" s="26"/>
      <c r="J34" s="67"/>
      <c r="K34" s="69">
        <v>100</v>
      </c>
      <c r="L34" s="57"/>
      <c r="M34" s="32"/>
      <c r="N34" s="31">
        <f>(K34-M34)</f>
        <v>100</v>
      </c>
      <c r="O34" s="36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9.95" hidden="1" customHeight="1">
      <c r="A35" s="22"/>
      <c r="B35" s="68"/>
      <c r="C35" s="68"/>
      <c r="D35" s="68"/>
      <c r="E35" s="5" t="s">
        <v>18</v>
      </c>
      <c r="F35" s="22"/>
      <c r="G35" s="22"/>
      <c r="H35" s="22"/>
      <c r="I35" s="26"/>
      <c r="J35" s="67"/>
      <c r="K35" s="69"/>
      <c r="L35" s="71"/>
      <c r="M35" s="32"/>
      <c r="N35" s="29"/>
      <c r="O35" s="36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28" ht="15.6" customHeight="1">
      <c r="A36" s="22"/>
      <c r="B36" s="47"/>
      <c r="C36" s="47"/>
      <c r="D36" s="47">
        <v>225</v>
      </c>
      <c r="E36" s="63" t="s">
        <v>294</v>
      </c>
      <c r="F36" s="64">
        <f>SUM(F49:F65)</f>
        <v>0</v>
      </c>
      <c r="G36" s="64">
        <f>SUM(G49:G65)</f>
        <v>0</v>
      </c>
      <c r="H36" s="64">
        <f>SUM(H49:H65)</f>
        <v>0</v>
      </c>
      <c r="I36" s="65"/>
      <c r="J36" s="51">
        <f>SUM(J49:J65)</f>
        <v>0</v>
      </c>
      <c r="K36" s="54">
        <f>SUM(K37:K66)</f>
        <v>2703100</v>
      </c>
      <c r="L36" s="54">
        <f>SUM(L37:L66)</f>
        <v>0</v>
      </c>
      <c r="M36" s="54">
        <f>SUM(M37:M66)</f>
        <v>60970.520000000004</v>
      </c>
      <c r="N36" s="54">
        <f>SUM(N37:N66)</f>
        <v>2565029.48</v>
      </c>
      <c r="O36" s="54">
        <f>SUM(O37:O66)</f>
        <v>0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29.4" customHeight="1">
      <c r="A37" s="22">
        <v>16</v>
      </c>
      <c r="B37" s="55" t="s">
        <v>152</v>
      </c>
      <c r="C37" s="55">
        <v>244</v>
      </c>
      <c r="D37" s="55"/>
      <c r="E37" s="72" t="s">
        <v>108</v>
      </c>
      <c r="F37" s="22"/>
      <c r="G37" s="22"/>
      <c r="H37" s="22"/>
      <c r="I37" s="35"/>
      <c r="J37" s="27"/>
      <c r="K37" s="100">
        <v>488500</v>
      </c>
      <c r="L37" s="57"/>
      <c r="M37" s="32">
        <v>40800.800000000003</v>
      </c>
      <c r="N37" s="31">
        <f t="shared" ref="N37:N39" si="7">(K37-M37)</f>
        <v>447699.20000000001</v>
      </c>
      <c r="O37" s="36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1:28" ht="21.6" customHeight="1">
      <c r="A38" s="22">
        <v>16</v>
      </c>
      <c r="B38" s="55" t="s">
        <v>295</v>
      </c>
      <c r="C38" s="55">
        <v>244</v>
      </c>
      <c r="D38" s="55"/>
      <c r="E38" s="72" t="s">
        <v>107</v>
      </c>
      <c r="F38" s="22"/>
      <c r="G38" s="22"/>
      <c r="H38" s="22"/>
      <c r="I38" s="35"/>
      <c r="J38" s="27"/>
      <c r="K38" s="100">
        <v>43000</v>
      </c>
      <c r="L38" s="57"/>
      <c r="M38" s="32">
        <v>11870</v>
      </c>
      <c r="N38" s="31">
        <f t="shared" si="7"/>
        <v>31130</v>
      </c>
      <c r="O38" s="36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21.6" customHeight="1">
      <c r="A39" s="22">
        <v>17</v>
      </c>
      <c r="B39" s="55" t="s">
        <v>153</v>
      </c>
      <c r="C39" s="55">
        <v>244</v>
      </c>
      <c r="D39" s="55"/>
      <c r="E39" s="72" t="s">
        <v>5</v>
      </c>
      <c r="F39" s="22">
        <v>42.6</v>
      </c>
      <c r="G39" s="22">
        <v>55.6</v>
      </c>
      <c r="H39" s="22">
        <v>38.4</v>
      </c>
      <c r="I39" s="35"/>
      <c r="J39" s="27">
        <f t="shared" ref="J39" si="8">F39*1</f>
        <v>42.6</v>
      </c>
      <c r="K39" s="100">
        <v>92100</v>
      </c>
      <c r="L39" s="57"/>
      <c r="M39" s="32">
        <v>3249.72</v>
      </c>
      <c r="N39" s="56">
        <f t="shared" si="7"/>
        <v>88850.28</v>
      </c>
      <c r="O39" s="36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ht="21.6" customHeight="1">
      <c r="A40" s="22"/>
      <c r="B40" s="55" t="s">
        <v>225</v>
      </c>
      <c r="C40" s="55">
        <v>244</v>
      </c>
      <c r="D40" s="55"/>
      <c r="E40" s="72" t="s">
        <v>296</v>
      </c>
      <c r="F40" s="22"/>
      <c r="G40" s="22"/>
      <c r="H40" s="22"/>
      <c r="I40" s="35"/>
      <c r="J40" s="27"/>
      <c r="K40" s="100">
        <v>77100</v>
      </c>
      <c r="L40" s="57"/>
      <c r="M40" s="32"/>
      <c r="N40" s="56"/>
      <c r="O40" s="36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39" customHeight="1">
      <c r="A41" s="5">
        <v>18</v>
      </c>
      <c r="B41" s="75" t="s">
        <v>154</v>
      </c>
      <c r="C41" s="75" t="s">
        <v>221</v>
      </c>
      <c r="D41" s="75"/>
      <c r="E41" s="72" t="s">
        <v>126</v>
      </c>
      <c r="F41" s="22">
        <v>60</v>
      </c>
      <c r="G41" s="22">
        <v>70</v>
      </c>
      <c r="H41" s="22">
        <v>55.9</v>
      </c>
      <c r="I41" s="35"/>
      <c r="J41" s="27">
        <f t="shared" ref="J41" si="9">F41*1</f>
        <v>60</v>
      </c>
      <c r="K41" s="100">
        <v>96200</v>
      </c>
      <c r="L41" s="76"/>
      <c r="M41" s="32">
        <v>3450</v>
      </c>
      <c r="N41" s="56">
        <f t="shared" ref="N41:N66" si="10">(K41-M41)</f>
        <v>92750</v>
      </c>
      <c r="O41" s="36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21" customHeight="1">
      <c r="A42" s="5">
        <v>19</v>
      </c>
      <c r="B42" s="75" t="s">
        <v>155</v>
      </c>
      <c r="C42" s="75" t="s">
        <v>221</v>
      </c>
      <c r="D42" s="75"/>
      <c r="E42" s="122" t="s">
        <v>99</v>
      </c>
      <c r="F42" s="22"/>
      <c r="G42" s="22"/>
      <c r="H42" s="22"/>
      <c r="I42" s="35"/>
      <c r="J42" s="27"/>
      <c r="K42" s="100">
        <v>3000</v>
      </c>
      <c r="L42" s="76"/>
      <c r="M42" s="32"/>
      <c r="N42" s="56">
        <f t="shared" si="10"/>
        <v>3000</v>
      </c>
      <c r="O42" s="36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8.600000000000001" customHeight="1">
      <c r="A43" s="5">
        <v>19</v>
      </c>
      <c r="B43" s="75" t="s">
        <v>155</v>
      </c>
      <c r="C43" s="75" t="s">
        <v>221</v>
      </c>
      <c r="D43" s="75"/>
      <c r="E43" s="122" t="s">
        <v>100</v>
      </c>
      <c r="F43" s="22"/>
      <c r="G43" s="22"/>
      <c r="H43" s="22"/>
      <c r="I43" s="35"/>
      <c r="J43" s="27"/>
      <c r="K43" s="100">
        <v>3500</v>
      </c>
      <c r="L43" s="76"/>
      <c r="M43" s="32"/>
      <c r="N43" s="31">
        <f t="shared" si="10"/>
        <v>3500</v>
      </c>
      <c r="O43" s="36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ht="36" customHeight="1">
      <c r="A44" s="22">
        <v>20</v>
      </c>
      <c r="B44" s="55" t="s">
        <v>156</v>
      </c>
      <c r="C44" s="55">
        <v>244</v>
      </c>
      <c r="D44" s="55"/>
      <c r="E44" s="74" t="s">
        <v>70</v>
      </c>
      <c r="F44" s="22"/>
      <c r="G44" s="22"/>
      <c r="H44" s="22"/>
      <c r="I44" s="35"/>
      <c r="J44" s="27"/>
      <c r="K44" s="100">
        <v>1303500</v>
      </c>
      <c r="L44" s="77"/>
      <c r="M44" s="32"/>
      <c r="N44" s="31">
        <f t="shared" si="10"/>
        <v>1303500</v>
      </c>
      <c r="O44" s="36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39.6" customHeight="1">
      <c r="A45" s="118">
        <v>22</v>
      </c>
      <c r="B45" s="55" t="s">
        <v>158</v>
      </c>
      <c r="C45" s="55">
        <v>244</v>
      </c>
      <c r="D45" s="55"/>
      <c r="E45" s="72" t="s">
        <v>91</v>
      </c>
      <c r="F45" s="34">
        <v>216</v>
      </c>
      <c r="G45" s="34">
        <v>158</v>
      </c>
      <c r="H45" s="34">
        <v>140.19999999999999</v>
      </c>
      <c r="I45" s="35"/>
      <c r="J45" s="27">
        <f>F45*1</f>
        <v>216</v>
      </c>
      <c r="K45" s="100">
        <v>235000</v>
      </c>
      <c r="L45" s="57"/>
      <c r="M45" s="32"/>
      <c r="N45" s="31">
        <f t="shared" si="10"/>
        <v>235000</v>
      </c>
      <c r="O45" s="36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  <row r="46" spans="1:28" ht="30" customHeight="1">
      <c r="A46" s="22">
        <v>21</v>
      </c>
      <c r="B46" s="55" t="s">
        <v>157</v>
      </c>
      <c r="C46" s="55">
        <v>244</v>
      </c>
      <c r="D46" s="55"/>
      <c r="E46" s="72" t="s">
        <v>76</v>
      </c>
      <c r="F46" s="34"/>
      <c r="G46" s="34"/>
      <c r="H46" s="34"/>
      <c r="I46" s="35"/>
      <c r="J46" s="27">
        <f>F46*1</f>
        <v>0</v>
      </c>
      <c r="K46" s="100">
        <v>19600</v>
      </c>
      <c r="L46" s="76"/>
      <c r="M46" s="32">
        <v>1600</v>
      </c>
      <c r="N46" s="31">
        <f t="shared" si="10"/>
        <v>18000</v>
      </c>
      <c r="O46" s="36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30" customHeight="1">
      <c r="A47" s="22"/>
      <c r="B47" s="55" t="s">
        <v>159</v>
      </c>
      <c r="C47" s="55">
        <v>244</v>
      </c>
      <c r="D47" s="55"/>
      <c r="E47" s="72" t="s">
        <v>297</v>
      </c>
      <c r="F47" s="60"/>
      <c r="G47" s="60"/>
      <c r="H47" s="60"/>
      <c r="I47" s="35"/>
      <c r="J47" s="27"/>
      <c r="K47" s="100">
        <v>30000</v>
      </c>
      <c r="L47" s="76"/>
      <c r="M47" s="32"/>
      <c r="N47" s="31">
        <f t="shared" si="10"/>
        <v>30000</v>
      </c>
      <c r="O47" s="36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ht="29.4" customHeight="1">
      <c r="A48" s="118">
        <v>21</v>
      </c>
      <c r="B48" s="55" t="s">
        <v>231</v>
      </c>
      <c r="C48" s="55">
        <v>244</v>
      </c>
      <c r="D48" s="55"/>
      <c r="E48" s="72" t="s">
        <v>298</v>
      </c>
      <c r="F48" s="60"/>
      <c r="G48" s="60"/>
      <c r="H48" s="60"/>
      <c r="I48" s="35"/>
      <c r="J48" s="27"/>
      <c r="K48" s="100">
        <v>58000</v>
      </c>
      <c r="L48" s="57"/>
      <c r="M48" s="32"/>
      <c r="N48" s="31">
        <f t="shared" si="10"/>
        <v>58000</v>
      </c>
      <c r="O48" s="36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23.4" customHeight="1">
      <c r="A49" s="118">
        <v>21</v>
      </c>
      <c r="B49" s="55" t="s">
        <v>157</v>
      </c>
      <c r="C49" s="55">
        <v>244</v>
      </c>
      <c r="D49" s="55"/>
      <c r="E49" s="72" t="s">
        <v>69</v>
      </c>
      <c r="F49" s="60"/>
      <c r="G49" s="60"/>
      <c r="H49" s="60"/>
      <c r="I49" s="35"/>
      <c r="J49" s="27"/>
      <c r="K49" s="100">
        <v>59400</v>
      </c>
      <c r="L49" s="57"/>
      <c r="M49" s="32"/>
      <c r="N49" s="31">
        <f t="shared" si="10"/>
        <v>59400</v>
      </c>
      <c r="O49" s="36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ht="13.2" hidden="1" customHeight="1">
      <c r="A50" s="22"/>
      <c r="B50" s="55"/>
      <c r="C50" s="55">
        <v>244</v>
      </c>
      <c r="D50" s="55"/>
      <c r="E50" s="72" t="s">
        <v>59</v>
      </c>
      <c r="F50" s="22"/>
      <c r="G50" s="22"/>
      <c r="H50" s="22"/>
      <c r="I50" s="35"/>
      <c r="J50" s="27">
        <f t="shared" ref="J50" si="11">F50*1</f>
        <v>0</v>
      </c>
      <c r="K50" s="100"/>
      <c r="L50" s="71"/>
      <c r="M50" s="32"/>
      <c r="N50" s="56">
        <f t="shared" si="10"/>
        <v>0</v>
      </c>
      <c r="O50" s="36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23.4" customHeight="1">
      <c r="A51" s="118"/>
      <c r="B51" s="55" t="s">
        <v>235</v>
      </c>
      <c r="C51" s="55">
        <v>244</v>
      </c>
      <c r="D51" s="55"/>
      <c r="E51" s="72" t="s">
        <v>299</v>
      </c>
      <c r="F51" s="60"/>
      <c r="G51" s="60"/>
      <c r="H51" s="60"/>
      <c r="I51" s="35"/>
      <c r="J51" s="27"/>
      <c r="K51" s="100">
        <v>19200</v>
      </c>
      <c r="L51" s="57"/>
      <c r="M51" s="32"/>
      <c r="N51" s="31">
        <f t="shared" si="10"/>
        <v>19200</v>
      </c>
      <c r="O51" s="36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28" ht="25.2" customHeight="1">
      <c r="A52" s="118">
        <v>23</v>
      </c>
      <c r="B52" s="55" t="s">
        <v>159</v>
      </c>
      <c r="C52" s="55">
        <v>244</v>
      </c>
      <c r="D52" s="55"/>
      <c r="E52" s="72" t="s">
        <v>234</v>
      </c>
      <c r="F52" s="60"/>
      <c r="G52" s="60"/>
      <c r="H52" s="60"/>
      <c r="I52" s="35"/>
      <c r="J52" s="27"/>
      <c r="K52" s="100">
        <v>128000</v>
      </c>
      <c r="L52" s="57"/>
      <c r="M52" s="32"/>
      <c r="N52" s="31">
        <f t="shared" si="10"/>
        <v>128000</v>
      </c>
      <c r="O52" s="36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ht="19.2" customHeight="1">
      <c r="A53" s="22">
        <v>24</v>
      </c>
      <c r="B53" s="55" t="s">
        <v>160</v>
      </c>
      <c r="C53" s="55">
        <v>244</v>
      </c>
      <c r="D53" s="55"/>
      <c r="E53" s="78" t="s">
        <v>161</v>
      </c>
      <c r="F53" s="79"/>
      <c r="G53" s="79"/>
      <c r="H53" s="79"/>
      <c r="I53" s="35"/>
      <c r="J53" s="27"/>
      <c r="K53" s="100">
        <v>20000</v>
      </c>
      <c r="L53" s="57"/>
      <c r="M53" s="32"/>
      <c r="N53" s="31">
        <f t="shared" si="10"/>
        <v>20000</v>
      </c>
      <c r="O53" s="36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ht="17.399999999999999" customHeight="1">
      <c r="A54" s="22">
        <v>25</v>
      </c>
      <c r="B54" s="55" t="s">
        <v>162</v>
      </c>
      <c r="C54" s="55">
        <v>244</v>
      </c>
      <c r="D54" s="55"/>
      <c r="E54" s="78" t="s">
        <v>117</v>
      </c>
      <c r="F54" s="79"/>
      <c r="G54" s="79"/>
      <c r="H54" s="79"/>
      <c r="I54" s="35"/>
      <c r="J54" s="27"/>
      <c r="K54" s="100">
        <v>7000</v>
      </c>
      <c r="L54" s="57"/>
      <c r="M54" s="32"/>
      <c r="N54" s="31">
        <f t="shared" si="10"/>
        <v>7000</v>
      </c>
      <c r="O54" s="36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28" ht="28.95" customHeight="1">
      <c r="A55" s="22"/>
      <c r="B55" s="55" t="s">
        <v>223</v>
      </c>
      <c r="C55" s="55">
        <v>244</v>
      </c>
      <c r="D55" s="55">
        <v>25</v>
      </c>
      <c r="E55" s="78" t="s">
        <v>224</v>
      </c>
      <c r="F55" s="79"/>
      <c r="G55" s="79"/>
      <c r="H55" s="79"/>
      <c r="I55" s="61"/>
      <c r="J55" s="27"/>
      <c r="K55" s="100">
        <v>20000</v>
      </c>
      <c r="L55" s="57"/>
      <c r="M55" s="36"/>
      <c r="N55" s="31">
        <f t="shared" si="10"/>
        <v>20000</v>
      </c>
      <c r="O55" s="36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ht="21" hidden="1" customHeight="1">
      <c r="A56" s="5"/>
      <c r="B56" s="75"/>
      <c r="C56" s="75" t="s">
        <v>221</v>
      </c>
      <c r="D56" s="75"/>
      <c r="E56" s="122" t="s">
        <v>287</v>
      </c>
      <c r="F56" s="22"/>
      <c r="G56" s="22"/>
      <c r="H56" s="22"/>
      <c r="I56" s="35"/>
      <c r="J56" s="27"/>
      <c r="K56" s="100"/>
      <c r="L56" s="76"/>
      <c r="M56" s="32"/>
      <c r="N56" s="56">
        <f t="shared" si="10"/>
        <v>0</v>
      </c>
      <c r="O56" s="36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28" ht="18.600000000000001" hidden="1" customHeight="1">
      <c r="A57" s="5">
        <v>19</v>
      </c>
      <c r="B57" s="75" t="s">
        <v>155</v>
      </c>
      <c r="C57" s="75" t="s">
        <v>221</v>
      </c>
      <c r="D57" s="75" t="s">
        <v>266</v>
      </c>
      <c r="E57" s="122" t="s">
        <v>100</v>
      </c>
      <c r="F57" s="22"/>
      <c r="G57" s="22"/>
      <c r="H57" s="22"/>
      <c r="I57" s="35"/>
      <c r="J57" s="27"/>
      <c r="K57" s="100"/>
      <c r="L57" s="76"/>
      <c r="M57" s="32"/>
      <c r="N57" s="31">
        <f t="shared" si="10"/>
        <v>0</v>
      </c>
      <c r="O57" s="36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ht="36" hidden="1" customHeight="1">
      <c r="A58" s="22">
        <v>20</v>
      </c>
      <c r="B58" s="55" t="s">
        <v>156</v>
      </c>
      <c r="C58" s="55">
        <v>244</v>
      </c>
      <c r="D58" s="55">
        <v>19</v>
      </c>
      <c r="E58" s="74" t="s">
        <v>70</v>
      </c>
      <c r="F58" s="22"/>
      <c r="G58" s="22"/>
      <c r="H58" s="22"/>
      <c r="I58" s="35"/>
      <c r="J58" s="27"/>
      <c r="K58" s="100"/>
      <c r="L58" s="77"/>
      <c r="M58" s="32"/>
      <c r="N58" s="31">
        <f t="shared" si="10"/>
        <v>0</v>
      </c>
      <c r="O58" s="36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28" ht="33.6" hidden="1" customHeight="1">
      <c r="A59" s="22">
        <v>20</v>
      </c>
      <c r="B59" s="55" t="s">
        <v>156</v>
      </c>
      <c r="C59" s="55">
        <v>244</v>
      </c>
      <c r="D59" s="55">
        <v>19</v>
      </c>
      <c r="E59" s="74" t="s">
        <v>11</v>
      </c>
      <c r="F59" s="22"/>
      <c r="G59" s="22"/>
      <c r="H59" s="22"/>
      <c r="I59" s="35"/>
      <c r="J59" s="27"/>
      <c r="K59" s="100"/>
      <c r="L59" s="77"/>
      <c r="M59" s="32"/>
      <c r="N59" s="31">
        <f t="shared" si="10"/>
        <v>0</v>
      </c>
      <c r="O59" s="36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ht="25.2" hidden="1" customHeight="1">
      <c r="A60" s="118">
        <v>23</v>
      </c>
      <c r="B60" s="55" t="s">
        <v>159</v>
      </c>
      <c r="C60" s="55">
        <v>244</v>
      </c>
      <c r="D60" s="55">
        <v>22</v>
      </c>
      <c r="E60" s="72" t="s">
        <v>234</v>
      </c>
      <c r="F60" s="60"/>
      <c r="G60" s="60"/>
      <c r="H60" s="60"/>
      <c r="I60" s="35"/>
      <c r="J60" s="27"/>
      <c r="K60" s="100"/>
      <c r="L60" s="57"/>
      <c r="M60" s="32"/>
      <c r="N60" s="31">
        <f t="shared" si="10"/>
        <v>0</v>
      </c>
      <c r="O60" s="36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:28" ht="23.4" hidden="1" customHeight="1">
      <c r="A61" s="118"/>
      <c r="B61" s="55" t="s">
        <v>235</v>
      </c>
      <c r="C61" s="55">
        <v>244</v>
      </c>
      <c r="D61" s="55">
        <v>20</v>
      </c>
      <c r="E61" s="72" t="s">
        <v>236</v>
      </c>
      <c r="F61" s="60"/>
      <c r="G61" s="60"/>
      <c r="H61" s="60"/>
      <c r="I61" s="35"/>
      <c r="J61" s="27"/>
      <c r="K61" s="100"/>
      <c r="L61" s="57"/>
      <c r="M61" s="32"/>
      <c r="N61" s="31">
        <f t="shared" si="10"/>
        <v>0</v>
      </c>
      <c r="O61" s="36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28" ht="21" hidden="1" customHeight="1">
      <c r="A62" s="118">
        <v>21</v>
      </c>
      <c r="B62" s="55" t="s">
        <v>231</v>
      </c>
      <c r="C62" s="55">
        <v>244</v>
      </c>
      <c r="D62" s="55">
        <v>107</v>
      </c>
      <c r="E62" s="72" t="s">
        <v>232</v>
      </c>
      <c r="F62" s="60"/>
      <c r="G62" s="60"/>
      <c r="H62" s="60"/>
      <c r="I62" s="35"/>
      <c r="J62" s="27"/>
      <c r="K62" s="100"/>
      <c r="L62" s="57"/>
      <c r="M62" s="32"/>
      <c r="N62" s="31">
        <f t="shared" si="10"/>
        <v>0</v>
      </c>
      <c r="O62" s="36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28" ht="21" hidden="1" customHeight="1">
      <c r="A63" s="22">
        <v>23</v>
      </c>
      <c r="B63" s="55" t="s">
        <v>159</v>
      </c>
      <c r="C63" s="55">
        <v>244</v>
      </c>
      <c r="D63" s="55"/>
      <c r="E63" s="72" t="s">
        <v>92</v>
      </c>
      <c r="F63" s="60"/>
      <c r="G63" s="60"/>
      <c r="H63" s="60"/>
      <c r="I63" s="35"/>
      <c r="J63" s="27"/>
      <c r="K63" s="100"/>
      <c r="L63" s="57"/>
      <c r="M63" s="32"/>
      <c r="N63" s="31">
        <f t="shared" si="10"/>
        <v>0</v>
      </c>
      <c r="O63" s="36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28" ht="19.2" hidden="1" customHeight="1">
      <c r="A64" s="22">
        <v>24</v>
      </c>
      <c r="B64" s="55" t="s">
        <v>160</v>
      </c>
      <c r="C64" s="55">
        <v>244</v>
      </c>
      <c r="D64" s="55">
        <v>23</v>
      </c>
      <c r="E64" s="78" t="s">
        <v>161</v>
      </c>
      <c r="F64" s="79"/>
      <c r="G64" s="79"/>
      <c r="H64" s="79"/>
      <c r="I64" s="35"/>
      <c r="J64" s="27"/>
      <c r="K64" s="100"/>
      <c r="L64" s="57"/>
      <c r="M64" s="32"/>
      <c r="N64" s="31">
        <f t="shared" si="10"/>
        <v>0</v>
      </c>
      <c r="O64" s="36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ht="17.399999999999999" hidden="1" customHeight="1">
      <c r="A65" s="22">
        <v>25</v>
      </c>
      <c r="B65" s="55" t="s">
        <v>162</v>
      </c>
      <c r="C65" s="55">
        <v>244</v>
      </c>
      <c r="D65" s="55">
        <v>24</v>
      </c>
      <c r="E65" s="78" t="s">
        <v>117</v>
      </c>
      <c r="F65" s="79"/>
      <c r="G65" s="79"/>
      <c r="H65" s="79"/>
      <c r="I65" s="35"/>
      <c r="J65" s="27"/>
      <c r="K65" s="100"/>
      <c r="L65" s="57"/>
      <c r="M65" s="32"/>
      <c r="N65" s="31">
        <f t="shared" si="10"/>
        <v>0</v>
      </c>
      <c r="O65" s="36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ht="28.95" hidden="1" customHeight="1">
      <c r="A66" s="22"/>
      <c r="B66" s="55" t="s">
        <v>223</v>
      </c>
      <c r="C66" s="55">
        <v>244</v>
      </c>
      <c r="D66" s="55">
        <v>25</v>
      </c>
      <c r="E66" s="78" t="s">
        <v>224</v>
      </c>
      <c r="F66" s="79"/>
      <c r="G66" s="79"/>
      <c r="H66" s="79"/>
      <c r="I66" s="61"/>
      <c r="J66" s="27"/>
      <c r="K66" s="100"/>
      <c r="L66" s="57"/>
      <c r="M66" s="36"/>
      <c r="N66" s="31">
        <f t="shared" si="10"/>
        <v>0</v>
      </c>
      <c r="O66" s="36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ht="21" customHeight="1">
      <c r="A67" s="22"/>
      <c r="B67" s="47"/>
      <c r="C67" s="47"/>
      <c r="D67" s="47">
        <v>226</v>
      </c>
      <c r="E67" s="80" t="s">
        <v>19</v>
      </c>
      <c r="F67" s="64">
        <f>SUM(F68:F99)</f>
        <v>962.8</v>
      </c>
      <c r="G67" s="81">
        <f>SUM(G68:G99)</f>
        <v>915.3</v>
      </c>
      <c r="H67" s="64">
        <f>SUM(H68:H99)</f>
        <v>756.67</v>
      </c>
      <c r="I67" s="65"/>
      <c r="J67" s="51">
        <f t="shared" ref="J67:O67" si="12">SUM(J68:J99)</f>
        <v>1028</v>
      </c>
      <c r="K67" s="54">
        <f t="shared" si="12"/>
        <v>3559100</v>
      </c>
      <c r="L67" s="52">
        <f t="shared" si="12"/>
        <v>0</v>
      </c>
      <c r="M67" s="53">
        <f>SUM(M68:M99)</f>
        <v>117624.82</v>
      </c>
      <c r="N67" s="53">
        <f t="shared" si="12"/>
        <v>3441475.18</v>
      </c>
      <c r="O67" s="53">
        <f t="shared" si="12"/>
        <v>0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ht="12" hidden="1" customHeight="1">
      <c r="A68" s="22"/>
      <c r="B68" s="82"/>
      <c r="C68" s="82"/>
      <c r="D68" s="82"/>
      <c r="E68" s="72" t="s">
        <v>2</v>
      </c>
      <c r="F68" s="22">
        <v>2.2999999999999998</v>
      </c>
      <c r="G68" s="22"/>
      <c r="H68" s="22"/>
      <c r="I68" s="35"/>
      <c r="J68" s="27">
        <f>F68*1</f>
        <v>2.2999999999999998</v>
      </c>
      <c r="K68" s="28"/>
      <c r="L68" s="57"/>
      <c r="M68" s="32"/>
      <c r="N68" s="31"/>
      <c r="O68" s="36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ht="15" hidden="1" customHeight="1">
      <c r="A69" s="22"/>
      <c r="B69" s="82"/>
      <c r="C69" s="82"/>
      <c r="D69" s="82"/>
      <c r="E69" s="72" t="s">
        <v>32</v>
      </c>
      <c r="F69" s="22"/>
      <c r="G69" s="29">
        <v>0.71</v>
      </c>
      <c r="H69" s="22">
        <v>0.71</v>
      </c>
      <c r="I69" s="35"/>
      <c r="J69" s="27"/>
      <c r="K69" s="28"/>
      <c r="L69" s="57"/>
      <c r="M69" s="32"/>
      <c r="N69" s="31"/>
      <c r="O69" s="36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ht="32.4" customHeight="1">
      <c r="A70" s="22">
        <v>26</v>
      </c>
      <c r="B70" s="55" t="s">
        <v>163</v>
      </c>
      <c r="C70" s="55">
        <v>244</v>
      </c>
      <c r="D70" s="55"/>
      <c r="E70" s="72" t="s">
        <v>93</v>
      </c>
      <c r="F70" s="22"/>
      <c r="G70" s="29"/>
      <c r="H70" s="22"/>
      <c r="I70" s="35"/>
      <c r="J70" s="27"/>
      <c r="K70" s="100">
        <v>55000</v>
      </c>
      <c r="L70" s="57"/>
      <c r="M70" s="32">
        <v>6556.08</v>
      </c>
      <c r="N70" s="31">
        <f t="shared" ref="N70:N99" si="13">(K70-M70)</f>
        <v>48443.92</v>
      </c>
      <c r="O70" s="36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0.399999999999999" customHeight="1">
      <c r="A71" s="22">
        <v>27</v>
      </c>
      <c r="B71" s="55" t="s">
        <v>164</v>
      </c>
      <c r="C71" s="55">
        <v>244</v>
      </c>
      <c r="D71" s="55"/>
      <c r="E71" s="72" t="s">
        <v>113</v>
      </c>
      <c r="F71" s="22"/>
      <c r="G71" s="22"/>
      <c r="H71" s="22"/>
      <c r="I71" s="35"/>
      <c r="J71" s="27"/>
      <c r="K71" s="100">
        <v>8000</v>
      </c>
      <c r="L71" s="71"/>
      <c r="M71" s="32"/>
      <c r="N71" s="31">
        <f t="shared" si="13"/>
        <v>8000</v>
      </c>
      <c r="O71" s="36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0.95" hidden="1" customHeight="1">
      <c r="A72" s="22" t="s">
        <v>84</v>
      </c>
      <c r="B72" s="55">
        <v>7421000</v>
      </c>
      <c r="C72" s="55"/>
      <c r="D72" s="55"/>
      <c r="E72" s="5" t="s">
        <v>77</v>
      </c>
      <c r="F72" s="34"/>
      <c r="G72" s="29"/>
      <c r="H72" s="34"/>
      <c r="I72" s="35"/>
      <c r="J72" s="27"/>
      <c r="K72" s="100">
        <v>0</v>
      </c>
      <c r="L72" s="57"/>
      <c r="M72" s="32"/>
      <c r="N72" s="31">
        <f t="shared" si="13"/>
        <v>0</v>
      </c>
      <c r="O72" s="36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25.95" customHeight="1">
      <c r="A73" s="22">
        <v>29</v>
      </c>
      <c r="B73" s="55" t="s">
        <v>165</v>
      </c>
      <c r="C73" s="55">
        <v>244</v>
      </c>
      <c r="D73" s="55"/>
      <c r="E73" s="74" t="s">
        <v>71</v>
      </c>
      <c r="F73" s="34">
        <v>45</v>
      </c>
      <c r="G73" s="34">
        <v>45</v>
      </c>
      <c r="H73" s="34">
        <v>45</v>
      </c>
      <c r="I73" s="35"/>
      <c r="J73" s="27">
        <v>110.2</v>
      </c>
      <c r="K73" s="100">
        <v>100000</v>
      </c>
      <c r="L73" s="57"/>
      <c r="M73" s="32"/>
      <c r="N73" s="31">
        <f t="shared" si="13"/>
        <v>100000</v>
      </c>
      <c r="O73" s="36" t="s">
        <v>134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ht="34.950000000000003" customHeight="1">
      <c r="A74" s="22">
        <v>30</v>
      </c>
      <c r="B74" s="55" t="s">
        <v>166</v>
      </c>
      <c r="C74" s="55">
        <v>244</v>
      </c>
      <c r="D74" s="55"/>
      <c r="E74" s="74" t="s">
        <v>12</v>
      </c>
      <c r="F74" s="34">
        <v>49</v>
      </c>
      <c r="G74" s="29">
        <v>48.59</v>
      </c>
      <c r="H74" s="29">
        <v>48.59</v>
      </c>
      <c r="I74" s="35"/>
      <c r="J74" s="27">
        <f>F74*1</f>
        <v>49</v>
      </c>
      <c r="K74" s="100">
        <v>74000</v>
      </c>
      <c r="L74" s="57"/>
      <c r="M74" s="32"/>
      <c r="N74" s="56">
        <f t="shared" si="13"/>
        <v>74000</v>
      </c>
      <c r="O74" s="36" t="s">
        <v>49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:28" ht="25.95" customHeight="1">
      <c r="A75" s="22">
        <v>31</v>
      </c>
      <c r="B75" s="55" t="s">
        <v>167</v>
      </c>
      <c r="C75" s="55">
        <v>244</v>
      </c>
      <c r="D75" s="55"/>
      <c r="E75" s="72" t="s">
        <v>10</v>
      </c>
      <c r="F75" s="34">
        <v>91</v>
      </c>
      <c r="G75" s="34">
        <v>101</v>
      </c>
      <c r="H75" s="34">
        <v>80.900000000000006</v>
      </c>
      <c r="I75" s="35"/>
      <c r="J75" s="27">
        <f>F75*1</f>
        <v>91</v>
      </c>
      <c r="K75" s="100">
        <v>281900</v>
      </c>
      <c r="L75" s="57"/>
      <c r="M75" s="32">
        <v>13096.61</v>
      </c>
      <c r="N75" s="31">
        <f t="shared" si="13"/>
        <v>268803.39</v>
      </c>
      <c r="O75" s="36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ht="21.6" customHeight="1">
      <c r="A76" s="5"/>
      <c r="B76" s="55"/>
      <c r="C76" s="55">
        <v>244</v>
      </c>
      <c r="D76" s="75"/>
      <c r="E76" s="72" t="s">
        <v>34</v>
      </c>
      <c r="F76" s="34">
        <v>513</v>
      </c>
      <c r="G76" s="34">
        <v>558</v>
      </c>
      <c r="H76" s="34">
        <v>450.2</v>
      </c>
      <c r="I76" s="35"/>
      <c r="J76" s="27">
        <f>F76*1</f>
        <v>513</v>
      </c>
      <c r="K76" s="100">
        <v>821000</v>
      </c>
      <c r="L76" s="57"/>
      <c r="M76" s="30">
        <v>39031.449999999997</v>
      </c>
      <c r="N76" s="56">
        <f t="shared" si="13"/>
        <v>781968.55</v>
      </c>
      <c r="O76" s="36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ht="28.2" customHeight="1">
      <c r="A77" s="5" t="s">
        <v>84</v>
      </c>
      <c r="B77" s="55" t="s">
        <v>237</v>
      </c>
      <c r="C77" s="55">
        <v>244</v>
      </c>
      <c r="D77" s="55"/>
      <c r="E77" s="72" t="s">
        <v>238</v>
      </c>
      <c r="F77" s="34"/>
      <c r="G77" s="34"/>
      <c r="H77" s="34"/>
      <c r="I77" s="35"/>
      <c r="J77" s="27"/>
      <c r="K77" s="100">
        <v>308000</v>
      </c>
      <c r="L77" s="57"/>
      <c r="M77" s="30"/>
      <c r="N77" s="56">
        <f t="shared" si="13"/>
        <v>308000</v>
      </c>
      <c r="O77" s="36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  <row r="78" spans="1:28" ht="18.600000000000001" customHeight="1">
      <c r="A78" s="22">
        <v>38</v>
      </c>
      <c r="B78" s="55" t="s">
        <v>168</v>
      </c>
      <c r="C78" s="55">
        <v>244</v>
      </c>
      <c r="D78" s="55"/>
      <c r="E78" s="72" t="s">
        <v>8</v>
      </c>
      <c r="F78" s="22">
        <v>6.2</v>
      </c>
      <c r="G78" s="22">
        <v>3.2</v>
      </c>
      <c r="H78" s="22">
        <v>2</v>
      </c>
      <c r="I78" s="35"/>
      <c r="J78" s="27">
        <f t="shared" ref="J78:J84" si="14">F78*1</f>
        <v>6.2</v>
      </c>
      <c r="K78" s="100">
        <v>8000</v>
      </c>
      <c r="L78" s="57"/>
      <c r="M78" s="32">
        <v>2300</v>
      </c>
      <c r="N78" s="31">
        <f t="shared" si="13"/>
        <v>5700</v>
      </c>
      <c r="O78" s="36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1:28" ht="19.2" customHeight="1">
      <c r="A79" s="22">
        <v>39</v>
      </c>
      <c r="B79" s="55" t="s">
        <v>169</v>
      </c>
      <c r="C79" s="55">
        <v>244</v>
      </c>
      <c r="D79" s="55"/>
      <c r="E79" s="72" t="s">
        <v>170</v>
      </c>
      <c r="F79" s="34">
        <v>103</v>
      </c>
      <c r="G79" s="34">
        <v>91.8</v>
      </c>
      <c r="H79" s="34">
        <v>66</v>
      </c>
      <c r="I79" s="35"/>
      <c r="J79" s="27">
        <f t="shared" si="14"/>
        <v>103</v>
      </c>
      <c r="K79" s="100">
        <v>10000</v>
      </c>
      <c r="L79" s="57"/>
      <c r="M79" s="32"/>
      <c r="N79" s="56">
        <f t="shared" si="13"/>
        <v>10000</v>
      </c>
      <c r="O79" s="36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1:28" ht="16.95" customHeight="1">
      <c r="A80" s="22">
        <v>26</v>
      </c>
      <c r="B80" s="55" t="s">
        <v>171</v>
      </c>
      <c r="C80" s="55">
        <v>244</v>
      </c>
      <c r="D80" s="55"/>
      <c r="E80" s="72" t="s">
        <v>13</v>
      </c>
      <c r="F80" s="22"/>
      <c r="G80" s="22"/>
      <c r="H80" s="22"/>
      <c r="I80" s="35"/>
      <c r="J80" s="27">
        <f t="shared" si="14"/>
        <v>0</v>
      </c>
      <c r="K80" s="100">
        <f>22900-6300</f>
        <v>16600</v>
      </c>
      <c r="L80" s="71"/>
      <c r="M80" s="32">
        <v>3275</v>
      </c>
      <c r="N80" s="31">
        <f t="shared" si="13"/>
        <v>13325</v>
      </c>
      <c r="O80" s="36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28" ht="28.95" customHeight="1">
      <c r="A81" s="22">
        <v>177</v>
      </c>
      <c r="B81" s="55" t="s">
        <v>255</v>
      </c>
      <c r="C81" s="55">
        <v>244</v>
      </c>
      <c r="D81" s="55"/>
      <c r="E81" s="72" t="s">
        <v>254</v>
      </c>
      <c r="F81" s="79"/>
      <c r="G81" s="79"/>
      <c r="H81" s="79"/>
      <c r="I81" s="35"/>
      <c r="J81" s="27"/>
      <c r="K81" s="100">
        <v>600</v>
      </c>
      <c r="L81" s="57"/>
      <c r="M81" s="32"/>
      <c r="N81" s="31">
        <f t="shared" si="13"/>
        <v>600</v>
      </c>
      <c r="O81" s="36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ht="19.2" customHeight="1">
      <c r="A82" s="22">
        <v>137</v>
      </c>
      <c r="B82" s="55" t="s">
        <v>239</v>
      </c>
      <c r="C82" s="55">
        <v>244</v>
      </c>
      <c r="D82" s="55"/>
      <c r="E82" s="72" t="s">
        <v>78</v>
      </c>
      <c r="F82" s="79"/>
      <c r="G82" s="79"/>
      <c r="H82" s="79"/>
      <c r="I82" s="35"/>
      <c r="J82" s="27"/>
      <c r="K82" s="100">
        <v>100000</v>
      </c>
      <c r="L82" s="71"/>
      <c r="M82" s="32"/>
      <c r="N82" s="31">
        <f t="shared" si="13"/>
        <v>100000</v>
      </c>
      <c r="O82" s="36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ht="19.2" customHeight="1">
      <c r="A83" s="22">
        <v>138</v>
      </c>
      <c r="B83" s="55" t="s">
        <v>212</v>
      </c>
      <c r="C83" s="55">
        <v>244</v>
      </c>
      <c r="D83" s="55"/>
      <c r="E83" s="72" t="s">
        <v>213</v>
      </c>
      <c r="F83" s="79"/>
      <c r="G83" s="79"/>
      <c r="H83" s="79"/>
      <c r="I83" s="35"/>
      <c r="J83" s="27"/>
      <c r="K83" s="100">
        <v>15000</v>
      </c>
      <c r="L83" s="71"/>
      <c r="M83" s="32"/>
      <c r="N83" s="31">
        <f t="shared" si="13"/>
        <v>15000</v>
      </c>
      <c r="O83" s="36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28" ht="27" customHeight="1">
      <c r="A84" s="22">
        <v>43</v>
      </c>
      <c r="B84" s="55" t="s">
        <v>172</v>
      </c>
      <c r="C84" s="55">
        <v>244</v>
      </c>
      <c r="D84" s="55"/>
      <c r="E84" s="72" t="s">
        <v>28</v>
      </c>
      <c r="F84" s="22">
        <v>7.3</v>
      </c>
      <c r="G84" s="22"/>
      <c r="H84" s="22"/>
      <c r="I84" s="35"/>
      <c r="J84" s="27">
        <f t="shared" si="14"/>
        <v>7.3</v>
      </c>
      <c r="K84" s="100">
        <v>120000</v>
      </c>
      <c r="L84" s="71"/>
      <c r="M84" s="32"/>
      <c r="N84" s="31">
        <f t="shared" si="13"/>
        <v>120000</v>
      </c>
      <c r="O84" s="36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ht="27.6" customHeight="1">
      <c r="A85" s="22">
        <v>217</v>
      </c>
      <c r="B85" s="55" t="s">
        <v>173</v>
      </c>
      <c r="C85" s="55">
        <v>244</v>
      </c>
      <c r="D85" s="55"/>
      <c r="E85" s="72" t="s">
        <v>79</v>
      </c>
      <c r="F85" s="79">
        <v>129</v>
      </c>
      <c r="G85" s="60">
        <v>50</v>
      </c>
      <c r="H85" s="79">
        <v>47.28</v>
      </c>
      <c r="I85" s="35"/>
      <c r="J85" s="27">
        <f>F85*1</f>
        <v>129</v>
      </c>
      <c r="K85" s="100">
        <v>26600</v>
      </c>
      <c r="L85" s="57"/>
      <c r="M85" s="32">
        <v>4200</v>
      </c>
      <c r="N85" s="31">
        <f t="shared" si="13"/>
        <v>22400</v>
      </c>
      <c r="O85" s="36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28" ht="16.95" customHeight="1">
      <c r="A86" s="22"/>
      <c r="B86" s="55" t="s">
        <v>269</v>
      </c>
      <c r="C86" s="55">
        <v>244</v>
      </c>
      <c r="D86" s="55"/>
      <c r="E86" s="72" t="s">
        <v>270</v>
      </c>
      <c r="F86" s="79"/>
      <c r="G86" s="60"/>
      <c r="H86" s="79"/>
      <c r="I86" s="35"/>
      <c r="J86" s="27"/>
      <c r="K86" s="100">
        <v>1377900</v>
      </c>
      <c r="L86" s="57"/>
      <c r="M86" s="32">
        <v>46849.68</v>
      </c>
      <c r="N86" s="31">
        <f t="shared" si="13"/>
        <v>1331050.32</v>
      </c>
      <c r="O86" s="36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ht="27.6" customHeight="1">
      <c r="A87" s="22">
        <v>203</v>
      </c>
      <c r="B87" s="55" t="s">
        <v>174</v>
      </c>
      <c r="C87" s="55">
        <v>244</v>
      </c>
      <c r="D87" s="55"/>
      <c r="E87" s="72" t="s">
        <v>240</v>
      </c>
      <c r="F87" s="79"/>
      <c r="G87" s="60"/>
      <c r="H87" s="79"/>
      <c r="I87" s="35"/>
      <c r="J87" s="27"/>
      <c r="K87" s="100">
        <v>36000</v>
      </c>
      <c r="L87" s="57"/>
      <c r="M87" s="32"/>
      <c r="N87" s="31">
        <f t="shared" si="13"/>
        <v>36000</v>
      </c>
      <c r="O87" s="36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ht="19.2" customHeight="1">
      <c r="A88" s="22"/>
      <c r="B88" s="55" t="s">
        <v>273</v>
      </c>
      <c r="C88" s="55">
        <v>244</v>
      </c>
      <c r="D88" s="55"/>
      <c r="E88" s="72" t="s">
        <v>274</v>
      </c>
      <c r="F88" s="79"/>
      <c r="G88" s="79"/>
      <c r="H88" s="79"/>
      <c r="I88" s="35"/>
      <c r="J88" s="27"/>
      <c r="K88" s="100">
        <v>500</v>
      </c>
      <c r="L88" s="57"/>
      <c r="M88" s="32"/>
      <c r="N88" s="31">
        <f t="shared" si="13"/>
        <v>500</v>
      </c>
      <c r="O88" s="36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28" ht="19.2" customHeight="1">
      <c r="A89" s="22"/>
      <c r="B89" s="55" t="s">
        <v>300</v>
      </c>
      <c r="C89" s="55">
        <v>244</v>
      </c>
      <c r="D89" s="55"/>
      <c r="E89" s="72" t="s">
        <v>301</v>
      </c>
      <c r="F89" s="79"/>
      <c r="G89" s="60"/>
      <c r="H89" s="79"/>
      <c r="I89" s="35"/>
      <c r="J89" s="27"/>
      <c r="K89" s="100">
        <v>30000</v>
      </c>
      <c r="L89" s="57"/>
      <c r="M89" s="32"/>
      <c r="N89" s="31">
        <f t="shared" si="13"/>
        <v>30000</v>
      </c>
      <c r="O89" s="36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</row>
    <row r="90" spans="1:28" ht="28.2" customHeight="1">
      <c r="A90" s="22">
        <v>44</v>
      </c>
      <c r="B90" s="55" t="s">
        <v>175</v>
      </c>
      <c r="C90" s="55">
        <v>244</v>
      </c>
      <c r="D90" s="55"/>
      <c r="E90" s="72" t="s">
        <v>124</v>
      </c>
      <c r="F90" s="22">
        <v>17</v>
      </c>
      <c r="G90" s="22">
        <v>17</v>
      </c>
      <c r="H90" s="22">
        <v>15.99</v>
      </c>
      <c r="I90" s="35"/>
      <c r="J90" s="27">
        <f>F90*1</f>
        <v>17</v>
      </c>
      <c r="K90" s="100">
        <v>140000</v>
      </c>
      <c r="L90" s="57"/>
      <c r="M90" s="32"/>
      <c r="N90" s="31">
        <f t="shared" si="13"/>
        <v>140000</v>
      </c>
      <c r="O90" s="36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ht="22.95" customHeight="1">
      <c r="A91" s="22">
        <v>203</v>
      </c>
      <c r="B91" s="55" t="s">
        <v>302</v>
      </c>
      <c r="C91" s="55">
        <v>244</v>
      </c>
      <c r="D91" s="55"/>
      <c r="E91" s="72" t="s">
        <v>303</v>
      </c>
      <c r="F91" s="79"/>
      <c r="G91" s="79"/>
      <c r="H91" s="79"/>
      <c r="I91" s="35"/>
      <c r="J91" s="27"/>
      <c r="K91" s="100">
        <v>30000</v>
      </c>
      <c r="L91" s="57"/>
      <c r="M91" s="32">
        <v>2316</v>
      </c>
      <c r="N91" s="31">
        <f t="shared" si="13"/>
        <v>27684</v>
      </c>
      <c r="O91" s="36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1:28" ht="22.95" hidden="1" customHeight="1">
      <c r="A92" s="22"/>
      <c r="B92" s="55" t="s">
        <v>277</v>
      </c>
      <c r="C92" s="55">
        <v>244</v>
      </c>
      <c r="D92" s="55">
        <v>141</v>
      </c>
      <c r="E92" s="72" t="s">
        <v>278</v>
      </c>
      <c r="F92" s="79"/>
      <c r="G92" s="79"/>
      <c r="H92" s="79"/>
      <c r="I92" s="35"/>
      <c r="J92" s="27"/>
      <c r="K92" s="100"/>
      <c r="L92" s="57"/>
      <c r="M92" s="32"/>
      <c r="N92" s="31">
        <f t="shared" si="13"/>
        <v>0</v>
      </c>
      <c r="O92" s="36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1:28" ht="22.95" hidden="1" customHeight="1">
      <c r="A93" s="22"/>
      <c r="B93" s="55" t="s">
        <v>227</v>
      </c>
      <c r="C93" s="55">
        <v>244</v>
      </c>
      <c r="D93" s="55">
        <v>111</v>
      </c>
      <c r="E93" s="72" t="s">
        <v>268</v>
      </c>
      <c r="F93" s="79"/>
      <c r="G93" s="79"/>
      <c r="H93" s="79"/>
      <c r="I93" s="35"/>
      <c r="J93" s="27"/>
      <c r="K93" s="100"/>
      <c r="L93" s="57"/>
      <c r="M93" s="32"/>
      <c r="N93" s="31">
        <f t="shared" si="13"/>
        <v>0</v>
      </c>
      <c r="O93" s="36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1:28" ht="19.95" hidden="1" customHeight="1">
      <c r="A94" s="22">
        <v>200</v>
      </c>
      <c r="B94" s="55" t="s">
        <v>227</v>
      </c>
      <c r="C94" s="55">
        <v>244</v>
      </c>
      <c r="D94" s="55">
        <v>111</v>
      </c>
      <c r="E94" s="72" t="s">
        <v>228</v>
      </c>
      <c r="F94" s="79"/>
      <c r="G94" s="79"/>
      <c r="H94" s="79"/>
      <c r="I94" s="35"/>
      <c r="J94" s="27"/>
      <c r="K94" s="100"/>
      <c r="L94" s="57"/>
      <c r="M94" s="32"/>
      <c r="N94" s="31">
        <f t="shared" si="13"/>
        <v>0</v>
      </c>
      <c r="O94" s="36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28" ht="23.4" hidden="1" customHeight="1">
      <c r="A95" s="22">
        <v>203</v>
      </c>
      <c r="B95" s="55" t="s">
        <v>261</v>
      </c>
      <c r="C95" s="55">
        <v>244</v>
      </c>
      <c r="D95" s="55">
        <v>112</v>
      </c>
      <c r="E95" s="72" t="s">
        <v>262</v>
      </c>
      <c r="F95" s="79"/>
      <c r="G95" s="79"/>
      <c r="H95" s="79"/>
      <c r="I95" s="35"/>
      <c r="J95" s="27"/>
      <c r="K95" s="100"/>
      <c r="L95" s="57"/>
      <c r="M95" s="32"/>
      <c r="N95" s="31">
        <f t="shared" si="13"/>
        <v>0</v>
      </c>
      <c r="O95" s="36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1:28" ht="19.2" hidden="1" customHeight="1">
      <c r="A96" s="22">
        <v>42</v>
      </c>
      <c r="B96" s="55" t="s">
        <v>227</v>
      </c>
      <c r="C96" s="55">
        <v>244</v>
      </c>
      <c r="D96" s="55">
        <v>111</v>
      </c>
      <c r="E96" s="72" t="s">
        <v>260</v>
      </c>
      <c r="F96" s="79"/>
      <c r="G96" s="79"/>
      <c r="H96" s="79"/>
      <c r="I96" s="35"/>
      <c r="J96" s="27"/>
      <c r="K96" s="100"/>
      <c r="L96" s="57"/>
      <c r="M96" s="32"/>
      <c r="N96" s="31">
        <f t="shared" si="13"/>
        <v>0</v>
      </c>
      <c r="O96" s="36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1:28" ht="19.2" hidden="1" customHeight="1">
      <c r="A97" s="22"/>
      <c r="B97" s="55" t="s">
        <v>273</v>
      </c>
      <c r="C97" s="55">
        <v>244</v>
      </c>
      <c r="D97" s="55">
        <v>132</v>
      </c>
      <c r="E97" s="72" t="s">
        <v>274</v>
      </c>
      <c r="F97" s="79"/>
      <c r="G97" s="79"/>
      <c r="H97" s="79"/>
      <c r="I97" s="35"/>
      <c r="J97" s="27"/>
      <c r="K97" s="100"/>
      <c r="L97" s="57"/>
      <c r="M97" s="32"/>
      <c r="N97" s="31">
        <f t="shared" si="13"/>
        <v>0</v>
      </c>
      <c r="O97" s="36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1:28" ht="24.6" hidden="1" customHeight="1">
      <c r="A98" s="22">
        <v>45</v>
      </c>
      <c r="B98" s="55" t="s">
        <v>176</v>
      </c>
      <c r="C98" s="55">
        <v>244</v>
      </c>
      <c r="D98" s="55"/>
      <c r="E98" s="72" t="s">
        <v>122</v>
      </c>
      <c r="F98" s="79"/>
      <c r="G98" s="79"/>
      <c r="H98" s="79"/>
      <c r="I98" s="35"/>
      <c r="J98" s="27"/>
      <c r="K98" s="100">
        <f>37960-37960</f>
        <v>0</v>
      </c>
      <c r="L98" s="57"/>
      <c r="M98" s="32"/>
      <c r="N98" s="31">
        <f t="shared" si="13"/>
        <v>0</v>
      </c>
      <c r="O98" s="36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28" ht="13.95" hidden="1" customHeight="1">
      <c r="A99" s="22"/>
      <c r="B99" s="22" t="s">
        <v>227</v>
      </c>
      <c r="C99" s="162">
        <v>244</v>
      </c>
      <c r="D99" s="22"/>
      <c r="E99" s="22" t="s">
        <v>228</v>
      </c>
      <c r="F99" s="79"/>
      <c r="G99" s="79"/>
      <c r="H99" s="79"/>
      <c r="I99" s="35"/>
      <c r="J99" s="27"/>
      <c r="K99" s="165"/>
      <c r="L99" s="57"/>
      <c r="M99" s="32"/>
      <c r="N99" s="31">
        <f t="shared" si="13"/>
        <v>0</v>
      </c>
      <c r="O99" s="36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</row>
    <row r="100" spans="1:28" ht="25.95" hidden="1" customHeight="1">
      <c r="A100" s="22"/>
      <c r="B100" s="82"/>
      <c r="C100" s="82"/>
      <c r="D100" s="82"/>
      <c r="E100" s="72" t="s">
        <v>55</v>
      </c>
      <c r="F100" s="79"/>
      <c r="G100" s="79"/>
      <c r="H100" s="79"/>
      <c r="I100" s="61"/>
      <c r="J100" s="27"/>
      <c r="K100" s="28"/>
      <c r="L100" s="57"/>
      <c r="M100" s="36"/>
      <c r="N100" s="85">
        <f>(K100-M100)</f>
        <v>0</v>
      </c>
      <c r="O100" s="36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1:28" ht="17.399999999999999" customHeight="1">
      <c r="A101" s="22"/>
      <c r="B101" s="42"/>
      <c r="C101" s="42"/>
      <c r="D101" s="42">
        <v>290</v>
      </c>
      <c r="E101" s="83" t="s">
        <v>20</v>
      </c>
      <c r="F101" s="44">
        <f>SUM(F102:F109)</f>
        <v>2421</v>
      </c>
      <c r="G101" s="44">
        <f>SUM(G102:G109)</f>
        <v>2157</v>
      </c>
      <c r="H101" s="44">
        <f>SUM(H102:H109)</f>
        <v>1854.26</v>
      </c>
      <c r="I101" s="45"/>
      <c r="J101" s="46">
        <f t="shared" ref="J101" si="15">SUM(J102:J109)</f>
        <v>3166</v>
      </c>
      <c r="K101" s="129">
        <f>SUM(K102:K110)</f>
        <v>998800</v>
      </c>
      <c r="L101" s="130">
        <f>SUM(L102:L110)</f>
        <v>0</v>
      </c>
      <c r="M101" s="130">
        <f>SUM(M102:M110)</f>
        <v>23737.439999999999</v>
      </c>
      <c r="N101" s="130">
        <f t="shared" ref="N101:O101" si="16">SUM(N102:N110)</f>
        <v>975062.56</v>
      </c>
      <c r="O101" s="130">
        <f t="shared" si="16"/>
        <v>0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1:28" ht="18.75" customHeight="1">
      <c r="A102" s="22"/>
      <c r="B102" s="82"/>
      <c r="C102" s="55">
        <v>851</v>
      </c>
      <c r="D102" s="82"/>
      <c r="E102" s="72" t="s">
        <v>63</v>
      </c>
      <c r="F102" s="22">
        <v>240</v>
      </c>
      <c r="G102" s="22">
        <v>0.3</v>
      </c>
      <c r="H102" s="22">
        <v>0.26</v>
      </c>
      <c r="I102" s="35"/>
      <c r="J102" s="27">
        <f>F102*1</f>
        <v>240</v>
      </c>
      <c r="K102" s="100">
        <v>150200</v>
      </c>
      <c r="L102" s="57"/>
      <c r="M102" s="32"/>
      <c r="N102" s="31">
        <f t="shared" ref="N102:N110" si="17">(K102-M102)</f>
        <v>150200</v>
      </c>
      <c r="O102" s="36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ht="19.2" customHeight="1">
      <c r="A103" s="22"/>
      <c r="B103" s="82"/>
      <c r="C103" s="55">
        <v>852</v>
      </c>
      <c r="D103" s="82"/>
      <c r="E103" s="72" t="s">
        <v>94</v>
      </c>
      <c r="F103" s="22">
        <v>2065</v>
      </c>
      <c r="G103" s="22">
        <v>2065</v>
      </c>
      <c r="H103" s="22">
        <v>1785</v>
      </c>
      <c r="I103" s="35"/>
      <c r="J103" s="27">
        <v>2700</v>
      </c>
      <c r="K103" s="100">
        <v>39600</v>
      </c>
      <c r="L103" s="57"/>
      <c r="M103" s="32"/>
      <c r="N103" s="31">
        <f t="shared" si="17"/>
        <v>39600</v>
      </c>
      <c r="O103" s="36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28" ht="19.2" customHeight="1">
      <c r="A104" s="22"/>
      <c r="B104" s="82"/>
      <c r="C104" s="55">
        <v>851</v>
      </c>
      <c r="D104" s="82"/>
      <c r="E104" s="72" t="s">
        <v>95</v>
      </c>
      <c r="F104" s="22"/>
      <c r="G104" s="22"/>
      <c r="H104" s="22"/>
      <c r="I104" s="35"/>
      <c r="J104" s="27"/>
      <c r="K104" s="100">
        <v>132000</v>
      </c>
      <c r="L104" s="57"/>
      <c r="M104" s="32"/>
      <c r="N104" s="31">
        <f t="shared" si="17"/>
        <v>132000</v>
      </c>
      <c r="O104" s="36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ht="24" customHeight="1">
      <c r="A105" s="22"/>
      <c r="B105" s="82"/>
      <c r="C105" s="55">
        <v>852</v>
      </c>
      <c r="D105" s="82"/>
      <c r="E105" s="72" t="s">
        <v>56</v>
      </c>
      <c r="F105" s="22"/>
      <c r="G105" s="22"/>
      <c r="H105" s="22"/>
      <c r="I105" s="35"/>
      <c r="J105" s="27"/>
      <c r="K105" s="100">
        <v>9000</v>
      </c>
      <c r="L105" s="57"/>
      <c r="M105" s="32">
        <v>189.44</v>
      </c>
      <c r="N105" s="31">
        <f t="shared" si="17"/>
        <v>8810.56</v>
      </c>
      <c r="O105" s="36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</row>
    <row r="106" spans="1:28" ht="21.6" customHeight="1">
      <c r="A106" s="22"/>
      <c r="B106" s="82"/>
      <c r="C106" s="55">
        <v>831</v>
      </c>
      <c r="D106" s="82"/>
      <c r="E106" s="72" t="s">
        <v>7</v>
      </c>
      <c r="F106" s="22">
        <v>1</v>
      </c>
      <c r="G106" s="22">
        <v>41</v>
      </c>
      <c r="H106" s="22">
        <v>20</v>
      </c>
      <c r="I106" s="35"/>
      <c r="J106" s="27">
        <f>F106*1</f>
        <v>1</v>
      </c>
      <c r="K106" s="100">
        <v>500000</v>
      </c>
      <c r="L106" s="57"/>
      <c r="M106" s="32"/>
      <c r="N106" s="31">
        <f t="shared" si="17"/>
        <v>500000</v>
      </c>
      <c r="O106" s="36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ht="22.2" customHeight="1">
      <c r="A107" s="22"/>
      <c r="B107" s="82"/>
      <c r="C107" s="55">
        <v>831</v>
      </c>
      <c r="D107" s="82"/>
      <c r="E107" s="72" t="s">
        <v>137</v>
      </c>
      <c r="F107" s="22">
        <v>80</v>
      </c>
      <c r="G107" s="22">
        <v>36.700000000000003</v>
      </c>
      <c r="H107" s="22">
        <v>36.6</v>
      </c>
      <c r="I107" s="35"/>
      <c r="J107" s="27">
        <v>150</v>
      </c>
      <c r="K107" s="100">
        <v>100000</v>
      </c>
      <c r="L107" s="57"/>
      <c r="M107" s="32"/>
      <c r="N107" s="31">
        <f t="shared" si="17"/>
        <v>100000</v>
      </c>
      <c r="O107" s="36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1:28" ht="39.6" customHeight="1">
      <c r="A108" s="22"/>
      <c r="B108" s="82"/>
      <c r="C108" s="55">
        <v>852</v>
      </c>
      <c r="D108" s="82"/>
      <c r="E108" s="72" t="s">
        <v>38</v>
      </c>
      <c r="F108" s="22">
        <v>29</v>
      </c>
      <c r="G108" s="22">
        <v>9</v>
      </c>
      <c r="H108" s="22">
        <v>8.9</v>
      </c>
      <c r="I108" s="35"/>
      <c r="J108" s="27">
        <v>69</v>
      </c>
      <c r="K108" s="100">
        <v>62000</v>
      </c>
      <c r="L108" s="57"/>
      <c r="M108" s="32">
        <v>23548</v>
      </c>
      <c r="N108" s="31">
        <f t="shared" si="17"/>
        <v>38452</v>
      </c>
      <c r="O108" s="36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1:28" ht="21" customHeight="1">
      <c r="A109" s="22">
        <v>46</v>
      </c>
      <c r="B109" s="68" t="s">
        <v>177</v>
      </c>
      <c r="C109" s="55">
        <v>244</v>
      </c>
      <c r="D109" s="68"/>
      <c r="E109" s="72" t="s">
        <v>101</v>
      </c>
      <c r="F109" s="79">
        <v>6</v>
      </c>
      <c r="G109" s="79">
        <v>5</v>
      </c>
      <c r="H109" s="79">
        <v>3.5</v>
      </c>
      <c r="I109" s="35"/>
      <c r="J109" s="27">
        <f>F109*1</f>
        <v>6</v>
      </c>
      <c r="K109" s="100">
        <v>2000</v>
      </c>
      <c r="L109" s="57"/>
      <c r="M109" s="32"/>
      <c r="N109" s="31">
        <f t="shared" si="17"/>
        <v>2000</v>
      </c>
      <c r="O109" s="36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</row>
    <row r="110" spans="1:28" ht="21" customHeight="1">
      <c r="A110" s="22">
        <v>47</v>
      </c>
      <c r="B110" s="68" t="s">
        <v>178</v>
      </c>
      <c r="C110" s="55">
        <v>244</v>
      </c>
      <c r="D110" s="68"/>
      <c r="E110" s="72" t="s">
        <v>102</v>
      </c>
      <c r="F110" s="79"/>
      <c r="G110" s="79"/>
      <c r="H110" s="79"/>
      <c r="I110" s="61"/>
      <c r="J110" s="123"/>
      <c r="K110" s="100">
        <f>2200+1800</f>
        <v>4000</v>
      </c>
      <c r="L110" s="57"/>
      <c r="M110" s="32"/>
      <c r="N110" s="124">
        <f t="shared" si="17"/>
        <v>4000</v>
      </c>
      <c r="O110" s="125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1:28" ht="21.6" customHeight="1">
      <c r="A111" s="22"/>
      <c r="B111" s="42"/>
      <c r="C111" s="42"/>
      <c r="D111" s="42">
        <v>300</v>
      </c>
      <c r="E111" s="83" t="s">
        <v>21</v>
      </c>
      <c r="F111" s="44">
        <f>F112+F116+F117</f>
        <v>2506.6999999999998</v>
      </c>
      <c r="G111" s="44">
        <f>G112+G116+G117</f>
        <v>2187.8000000000002</v>
      </c>
      <c r="H111" s="44">
        <f>H112+H116+H117</f>
        <v>1885.7200000000003</v>
      </c>
      <c r="I111" s="45"/>
      <c r="J111" s="86">
        <f>J112+J116+J117</f>
        <v>2506.6999999999998</v>
      </c>
      <c r="K111" s="129">
        <f>K112+K116+K117+K115</f>
        <v>6070100</v>
      </c>
      <c r="L111" s="130">
        <f t="shared" ref="L111:M111" si="18">L112+L116+L117</f>
        <v>0</v>
      </c>
      <c r="M111" s="131">
        <f t="shared" si="18"/>
        <v>212602</v>
      </c>
      <c r="N111" s="132">
        <f>N112+N116+N117+N115</f>
        <v>5857498</v>
      </c>
      <c r="O111" s="133">
        <f>O112+O116+O117+O115</f>
        <v>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</row>
    <row r="112" spans="1:28" ht="20.399999999999999" customHeight="1">
      <c r="A112" s="22"/>
      <c r="B112" s="142"/>
      <c r="C112" s="142"/>
      <c r="D112" s="142">
        <v>310</v>
      </c>
      <c r="E112" s="143" t="s">
        <v>22</v>
      </c>
      <c r="F112" s="64">
        <f>SUM(F113:F114)</f>
        <v>989</v>
      </c>
      <c r="G112" s="64">
        <f>SUM(G113:G114)</f>
        <v>896</v>
      </c>
      <c r="H112" s="64">
        <f>SUM(H113:H114)</f>
        <v>774.3</v>
      </c>
      <c r="I112" s="65"/>
      <c r="J112" s="51">
        <f t="shared" ref="J112:L112" si="19">SUM(J113:J114)</f>
        <v>989</v>
      </c>
      <c r="K112" s="54">
        <f t="shared" si="19"/>
        <v>3440000</v>
      </c>
      <c r="L112" s="52">
        <f t="shared" si="19"/>
        <v>0</v>
      </c>
      <c r="M112" s="88">
        <f>SUM(M113:M114)</f>
        <v>13260</v>
      </c>
      <c r="N112" s="89">
        <f>SUM(N113:N114)</f>
        <v>3426740</v>
      </c>
      <c r="O112" s="90">
        <f>SUM(O113:O114)</f>
        <v>0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ht="29.4" customHeight="1">
      <c r="A113" s="5"/>
      <c r="B113" s="173"/>
      <c r="C113" s="55">
        <v>244</v>
      </c>
      <c r="D113" s="82"/>
      <c r="E113" s="5" t="s">
        <v>29</v>
      </c>
      <c r="F113" s="22">
        <v>989</v>
      </c>
      <c r="G113" s="22">
        <v>896</v>
      </c>
      <c r="H113" s="22">
        <v>774.3</v>
      </c>
      <c r="I113" s="35"/>
      <c r="J113" s="27">
        <f>F113*1</f>
        <v>989</v>
      </c>
      <c r="K113" s="100">
        <v>3440000</v>
      </c>
      <c r="L113" s="76"/>
      <c r="M113" s="32">
        <v>13260</v>
      </c>
      <c r="N113" s="31">
        <f>(K113-M113)</f>
        <v>3426740</v>
      </c>
      <c r="O113" s="36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ht="10.95" hidden="1" customHeight="1">
      <c r="A114" s="22"/>
      <c r="B114" s="82"/>
      <c r="C114" s="82"/>
      <c r="D114" s="82"/>
      <c r="E114" s="91" t="s">
        <v>23</v>
      </c>
      <c r="F114" s="39"/>
      <c r="G114" s="39"/>
      <c r="H114" s="39"/>
      <c r="I114" s="35"/>
      <c r="J114" s="27">
        <f>F114*1</f>
        <v>0</v>
      </c>
      <c r="K114" s="73"/>
      <c r="L114" s="71"/>
      <c r="M114" s="32"/>
      <c r="N114" s="31"/>
      <c r="O114" s="3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</row>
    <row r="115" spans="1:28" ht="14.4" hidden="1" customHeight="1">
      <c r="A115" s="22"/>
      <c r="B115" s="82"/>
      <c r="C115" s="82"/>
      <c r="D115" s="82"/>
      <c r="E115" s="87" t="s">
        <v>45</v>
      </c>
      <c r="F115" s="39"/>
      <c r="G115" s="39"/>
      <c r="H115" s="39"/>
      <c r="I115" s="35"/>
      <c r="J115" s="27"/>
      <c r="K115" s="73"/>
      <c r="L115" s="71">
        <v>0</v>
      </c>
      <c r="M115" s="32"/>
      <c r="N115" s="31"/>
      <c r="O115" s="3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ht="13.95" hidden="1" customHeight="1">
      <c r="A116" s="22"/>
      <c r="B116" s="47">
        <v>320</v>
      </c>
      <c r="C116" s="47"/>
      <c r="D116" s="47"/>
      <c r="E116" s="92" t="s">
        <v>24</v>
      </c>
      <c r="F116" s="49"/>
      <c r="G116" s="49"/>
      <c r="H116" s="49"/>
      <c r="I116" s="35"/>
      <c r="J116" s="27">
        <f>F116*1</f>
        <v>0</v>
      </c>
      <c r="K116" s="73"/>
      <c r="L116" s="71"/>
      <c r="M116" s="32"/>
      <c r="N116" s="31"/>
      <c r="O116" s="3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28" ht="21" customHeight="1">
      <c r="A117" s="22"/>
      <c r="B117" s="142"/>
      <c r="C117" s="142"/>
      <c r="D117" s="142">
        <v>340</v>
      </c>
      <c r="E117" s="144" t="s">
        <v>25</v>
      </c>
      <c r="F117" s="64">
        <f>SUM(F118:F152)</f>
        <v>1517.6999999999998</v>
      </c>
      <c r="G117" s="64">
        <f>SUM(G118:G152)</f>
        <v>1291.8</v>
      </c>
      <c r="H117" s="64">
        <f>SUM(H118:H152)</f>
        <v>1111.4200000000003</v>
      </c>
      <c r="I117" s="65"/>
      <c r="J117" s="51">
        <f t="shared" ref="J117:O117" si="20">SUM(J118:J152)</f>
        <v>1517.6999999999998</v>
      </c>
      <c r="K117" s="54">
        <f t="shared" si="20"/>
        <v>2630100</v>
      </c>
      <c r="L117" s="52">
        <f t="shared" si="20"/>
        <v>0</v>
      </c>
      <c r="M117" s="52">
        <f>SUM(M118:M152)</f>
        <v>199342</v>
      </c>
      <c r="N117" s="121">
        <f t="shared" si="20"/>
        <v>2430758</v>
      </c>
      <c r="O117" s="52">
        <f t="shared" si="20"/>
        <v>0</v>
      </c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ht="18" customHeight="1">
      <c r="A118" s="22">
        <v>68</v>
      </c>
      <c r="B118" s="55" t="s">
        <v>179</v>
      </c>
      <c r="C118" s="55">
        <v>244</v>
      </c>
      <c r="D118" s="55"/>
      <c r="E118" s="72" t="s">
        <v>109</v>
      </c>
      <c r="F118" s="34">
        <v>778</v>
      </c>
      <c r="G118" s="34">
        <v>633</v>
      </c>
      <c r="H118" s="34">
        <v>546.70000000000005</v>
      </c>
      <c r="I118" s="35"/>
      <c r="J118" s="27">
        <f>F118*1</f>
        <v>778</v>
      </c>
      <c r="K118" s="100">
        <v>1200000</v>
      </c>
      <c r="L118" s="57"/>
      <c r="M118" s="32"/>
      <c r="N118" s="58">
        <f t="shared" ref="N118:N152" si="21">(K118-M118)</f>
        <v>1200000</v>
      </c>
      <c r="O118" s="3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</row>
    <row r="119" spans="1:28" ht="19.2" customHeight="1">
      <c r="A119" s="22">
        <v>69</v>
      </c>
      <c r="B119" s="55" t="s">
        <v>180</v>
      </c>
      <c r="C119" s="55">
        <v>244</v>
      </c>
      <c r="D119" s="55"/>
      <c r="E119" s="72" t="s">
        <v>42</v>
      </c>
      <c r="F119" s="34"/>
      <c r="G119" s="34"/>
      <c r="H119" s="34"/>
      <c r="I119" s="35"/>
      <c r="J119" s="27"/>
      <c r="K119" s="100">
        <v>68000</v>
      </c>
      <c r="L119" s="57"/>
      <c r="M119" s="32">
        <v>16541</v>
      </c>
      <c r="N119" s="56">
        <f t="shared" si="21"/>
        <v>51459</v>
      </c>
      <c r="O119" s="3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ht="22.5" customHeight="1">
      <c r="A120" s="22">
        <v>70</v>
      </c>
      <c r="B120" s="55" t="s">
        <v>181</v>
      </c>
      <c r="C120" s="55">
        <v>244</v>
      </c>
      <c r="D120" s="55"/>
      <c r="E120" s="72" t="s">
        <v>114</v>
      </c>
      <c r="F120" s="34"/>
      <c r="G120" s="34"/>
      <c r="H120" s="34"/>
      <c r="I120" s="35"/>
      <c r="J120" s="27"/>
      <c r="K120" s="100">
        <v>8000</v>
      </c>
      <c r="L120" s="57"/>
      <c r="M120" s="32"/>
      <c r="N120" s="56">
        <f t="shared" si="21"/>
        <v>8000</v>
      </c>
      <c r="O120" s="3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</row>
    <row r="121" spans="1:28" ht="29.4" customHeight="1">
      <c r="A121" s="93" t="s">
        <v>182</v>
      </c>
      <c r="B121" s="55" t="s">
        <v>183</v>
      </c>
      <c r="C121" s="55">
        <v>244</v>
      </c>
      <c r="D121" s="55"/>
      <c r="E121" s="72" t="s">
        <v>115</v>
      </c>
      <c r="F121" s="34">
        <v>41.5</v>
      </c>
      <c r="G121" s="29">
        <v>27.59</v>
      </c>
      <c r="H121" s="29">
        <v>10.45</v>
      </c>
      <c r="I121" s="35"/>
      <c r="J121" s="27">
        <f>F121*1</f>
        <v>41.5</v>
      </c>
      <c r="K121" s="100">
        <f>31000+13000</f>
        <v>44000</v>
      </c>
      <c r="L121" s="57"/>
      <c r="M121" s="32">
        <v>12000</v>
      </c>
      <c r="N121" s="56">
        <f t="shared" si="21"/>
        <v>32000</v>
      </c>
      <c r="O121" s="3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ht="28.95" customHeight="1">
      <c r="A122" s="93" t="s">
        <v>182</v>
      </c>
      <c r="B122" s="55" t="s">
        <v>184</v>
      </c>
      <c r="C122" s="55">
        <v>244</v>
      </c>
      <c r="D122" s="55"/>
      <c r="E122" s="72" t="s">
        <v>116</v>
      </c>
      <c r="F122" s="34"/>
      <c r="G122" s="29"/>
      <c r="H122" s="29"/>
      <c r="I122" s="35"/>
      <c r="J122" s="27"/>
      <c r="K122" s="100">
        <f>21700+10000</f>
        <v>31700</v>
      </c>
      <c r="L122" s="57"/>
      <c r="M122" s="32"/>
      <c r="N122" s="56">
        <f t="shared" si="21"/>
        <v>31700</v>
      </c>
      <c r="O122" s="3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</row>
    <row r="123" spans="1:28" ht="18" hidden="1" customHeight="1">
      <c r="A123" s="22">
        <v>39</v>
      </c>
      <c r="B123" s="55">
        <v>2101031</v>
      </c>
      <c r="C123" s="55">
        <v>244</v>
      </c>
      <c r="D123" s="55"/>
      <c r="E123" s="72" t="s">
        <v>43</v>
      </c>
      <c r="F123" s="34">
        <v>58.4</v>
      </c>
      <c r="G123" s="34">
        <v>57.1</v>
      </c>
      <c r="H123" s="34">
        <v>29.7</v>
      </c>
      <c r="I123" s="35"/>
      <c r="J123" s="27">
        <f>F123*1</f>
        <v>58.4</v>
      </c>
      <c r="K123" s="100"/>
      <c r="L123" s="57"/>
      <c r="M123" s="32"/>
      <c r="N123" s="56">
        <f t="shared" si="21"/>
        <v>0</v>
      </c>
      <c r="O123" s="3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ht="19.95" customHeight="1">
      <c r="A124" s="22">
        <v>73</v>
      </c>
      <c r="B124" s="55" t="s">
        <v>186</v>
      </c>
      <c r="C124" s="55">
        <v>244</v>
      </c>
      <c r="D124" s="55"/>
      <c r="E124" s="72" t="s">
        <v>185</v>
      </c>
      <c r="F124" s="34"/>
      <c r="G124" s="34"/>
      <c r="H124" s="34"/>
      <c r="I124" s="35"/>
      <c r="J124" s="27"/>
      <c r="K124" s="100">
        <v>140000</v>
      </c>
      <c r="L124" s="57"/>
      <c r="M124" s="32"/>
      <c r="N124" s="56">
        <f t="shared" si="21"/>
        <v>140000</v>
      </c>
      <c r="O124" s="3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</row>
    <row r="125" spans="1:28" ht="19.2" customHeight="1">
      <c r="A125" s="5">
        <v>74</v>
      </c>
      <c r="B125" s="127" t="s">
        <v>187</v>
      </c>
      <c r="C125" s="55">
        <v>244</v>
      </c>
      <c r="D125" s="127"/>
      <c r="E125" s="72" t="s">
        <v>125</v>
      </c>
      <c r="F125" s="34">
        <v>188</v>
      </c>
      <c r="G125" s="34">
        <v>169.1</v>
      </c>
      <c r="H125" s="34">
        <v>167.7</v>
      </c>
      <c r="I125" s="35"/>
      <c r="J125" s="27">
        <f>F125*1</f>
        <v>188</v>
      </c>
      <c r="K125" s="100">
        <v>268000</v>
      </c>
      <c r="L125" s="57"/>
      <c r="M125" s="32">
        <v>9945</v>
      </c>
      <c r="N125" s="56">
        <f t="shared" si="21"/>
        <v>258055</v>
      </c>
      <c r="O125" s="3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</row>
    <row r="126" spans="1:28" ht="19.2" customHeight="1">
      <c r="A126" s="5">
        <v>75</v>
      </c>
      <c r="B126" s="127" t="s">
        <v>188</v>
      </c>
      <c r="C126" s="55">
        <v>244</v>
      </c>
      <c r="D126" s="127"/>
      <c r="E126" s="72" t="s">
        <v>123</v>
      </c>
      <c r="F126" s="34"/>
      <c r="G126" s="34"/>
      <c r="H126" s="34"/>
      <c r="I126" s="35"/>
      <c r="J126" s="27"/>
      <c r="K126" s="100">
        <v>44000</v>
      </c>
      <c r="L126" s="57"/>
      <c r="M126" s="32">
        <v>17720</v>
      </c>
      <c r="N126" s="56">
        <f t="shared" si="21"/>
        <v>26280</v>
      </c>
      <c r="O126" s="3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</row>
    <row r="127" spans="1:28" ht="20.399999999999999" customHeight="1">
      <c r="A127" s="5">
        <v>76</v>
      </c>
      <c r="B127" s="94" t="s">
        <v>189</v>
      </c>
      <c r="C127" s="55">
        <v>244</v>
      </c>
      <c r="D127" s="94"/>
      <c r="E127" s="72" t="s">
        <v>73</v>
      </c>
      <c r="F127" s="34">
        <v>188</v>
      </c>
      <c r="G127" s="34">
        <v>169.1</v>
      </c>
      <c r="H127" s="34">
        <v>167.7</v>
      </c>
      <c r="I127" s="35"/>
      <c r="J127" s="27">
        <f>F127*1</f>
        <v>188</v>
      </c>
      <c r="K127" s="100">
        <v>18600</v>
      </c>
      <c r="L127" s="57"/>
      <c r="M127" s="32"/>
      <c r="N127" s="56">
        <f t="shared" si="21"/>
        <v>18600</v>
      </c>
      <c r="O127" s="3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</row>
    <row r="128" spans="1:28" ht="20.399999999999999" customHeight="1">
      <c r="A128" s="5">
        <v>77</v>
      </c>
      <c r="B128" s="94" t="s">
        <v>190</v>
      </c>
      <c r="C128" s="55">
        <v>244</v>
      </c>
      <c r="D128" s="94"/>
      <c r="E128" s="72" t="s">
        <v>118</v>
      </c>
      <c r="F128" s="34"/>
      <c r="G128" s="34"/>
      <c r="H128" s="34"/>
      <c r="I128" s="35"/>
      <c r="J128" s="27"/>
      <c r="K128" s="100">
        <v>10000</v>
      </c>
      <c r="L128" s="57"/>
      <c r="M128" s="32"/>
      <c r="N128" s="56">
        <f t="shared" si="21"/>
        <v>10000</v>
      </c>
      <c r="O128" s="3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</row>
    <row r="129" spans="1:28" ht="43.95" customHeight="1">
      <c r="A129" s="22">
        <v>78</v>
      </c>
      <c r="B129" s="94" t="s">
        <v>191</v>
      </c>
      <c r="C129" s="55">
        <v>244</v>
      </c>
      <c r="D129" s="94"/>
      <c r="E129" s="72" t="s">
        <v>131</v>
      </c>
      <c r="F129" s="34">
        <v>9.3000000000000007</v>
      </c>
      <c r="G129" s="29">
        <v>13.59</v>
      </c>
      <c r="H129" s="29">
        <v>13.59</v>
      </c>
      <c r="I129" s="35"/>
      <c r="J129" s="27">
        <f>F129*1</f>
        <v>9.3000000000000007</v>
      </c>
      <c r="K129" s="100">
        <v>411900</v>
      </c>
      <c r="L129" s="57"/>
      <c r="M129" s="32">
        <v>98281</v>
      </c>
      <c r="N129" s="31">
        <f t="shared" si="21"/>
        <v>313619</v>
      </c>
      <c r="O129" s="3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</row>
    <row r="130" spans="1:28" ht="31.2" customHeight="1">
      <c r="A130" s="22">
        <v>79</v>
      </c>
      <c r="B130" s="94" t="s">
        <v>192</v>
      </c>
      <c r="C130" s="55">
        <v>244</v>
      </c>
      <c r="D130" s="94"/>
      <c r="E130" s="72" t="s">
        <v>193</v>
      </c>
      <c r="F130" s="34"/>
      <c r="G130" s="29"/>
      <c r="H130" s="29"/>
      <c r="I130" s="35"/>
      <c r="J130" s="27"/>
      <c r="K130" s="100">
        <v>9000</v>
      </c>
      <c r="L130" s="57"/>
      <c r="M130" s="32"/>
      <c r="N130" s="31">
        <f t="shared" si="21"/>
        <v>9000</v>
      </c>
      <c r="O130" s="3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  <row r="131" spans="1:28" ht="19.2" customHeight="1">
      <c r="A131" s="22">
        <v>80</v>
      </c>
      <c r="B131" s="94" t="s">
        <v>194</v>
      </c>
      <c r="C131" s="55">
        <v>244</v>
      </c>
      <c r="D131" s="94"/>
      <c r="E131" s="72" t="s">
        <v>132</v>
      </c>
      <c r="F131" s="34"/>
      <c r="G131" s="29"/>
      <c r="H131" s="29"/>
      <c r="I131" s="35"/>
      <c r="J131" s="27"/>
      <c r="K131" s="100">
        <v>1600</v>
      </c>
      <c r="L131" s="57"/>
      <c r="M131" s="32"/>
      <c r="N131" s="31">
        <f t="shared" si="21"/>
        <v>1600</v>
      </c>
      <c r="O131" s="3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</row>
    <row r="132" spans="1:28" ht="22.95" customHeight="1">
      <c r="A132" s="22">
        <v>81</v>
      </c>
      <c r="B132" s="94" t="s">
        <v>195</v>
      </c>
      <c r="C132" s="55">
        <v>244</v>
      </c>
      <c r="D132" s="94"/>
      <c r="E132" s="72" t="s">
        <v>110</v>
      </c>
      <c r="F132" s="34"/>
      <c r="G132" s="29"/>
      <c r="H132" s="29"/>
      <c r="I132" s="35"/>
      <c r="J132" s="27"/>
      <c r="K132" s="100">
        <v>13100</v>
      </c>
      <c r="L132" s="57"/>
      <c r="M132" s="32">
        <v>175</v>
      </c>
      <c r="N132" s="31">
        <f t="shared" si="21"/>
        <v>12925</v>
      </c>
      <c r="O132" s="3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</row>
    <row r="133" spans="1:28" ht="30" customHeight="1">
      <c r="A133" s="22">
        <v>82</v>
      </c>
      <c r="B133" s="94" t="s">
        <v>196</v>
      </c>
      <c r="C133" s="55">
        <v>244</v>
      </c>
      <c r="D133" s="94"/>
      <c r="E133" s="72" t="s">
        <v>127</v>
      </c>
      <c r="F133" s="34"/>
      <c r="G133" s="29"/>
      <c r="H133" s="29"/>
      <c r="I133" s="35"/>
      <c r="J133" s="27"/>
      <c r="K133" s="100">
        <v>65000</v>
      </c>
      <c r="L133" s="57"/>
      <c r="M133" s="32">
        <v>43400</v>
      </c>
      <c r="N133" s="31">
        <f t="shared" si="21"/>
        <v>21600</v>
      </c>
      <c r="O133" s="3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</row>
    <row r="134" spans="1:28" ht="22.2" customHeight="1">
      <c r="A134" s="5"/>
      <c r="B134" s="95"/>
      <c r="C134" s="55">
        <v>244</v>
      </c>
      <c r="D134" s="95" t="s">
        <v>264</v>
      </c>
      <c r="E134" s="91" t="s">
        <v>23</v>
      </c>
      <c r="F134" s="34">
        <v>28</v>
      </c>
      <c r="G134" s="34">
        <v>7</v>
      </c>
      <c r="H134" s="29">
        <v>4.68</v>
      </c>
      <c r="I134" s="35"/>
      <c r="J134" s="27">
        <f>F134*1</f>
        <v>28</v>
      </c>
      <c r="K134" s="100">
        <v>76700</v>
      </c>
      <c r="L134" s="57"/>
      <c r="M134" s="32"/>
      <c r="N134" s="31">
        <f t="shared" si="21"/>
        <v>76700</v>
      </c>
      <c r="O134" s="3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</row>
    <row r="135" spans="1:28" ht="21.6" customHeight="1">
      <c r="A135" s="22">
        <v>88</v>
      </c>
      <c r="B135" s="94" t="s">
        <v>197</v>
      </c>
      <c r="C135" s="55">
        <v>244</v>
      </c>
      <c r="D135" s="94"/>
      <c r="E135" s="72" t="s">
        <v>304</v>
      </c>
      <c r="F135" s="34">
        <v>1.1000000000000001</v>
      </c>
      <c r="G135" s="34">
        <v>1.1000000000000001</v>
      </c>
      <c r="H135" s="34"/>
      <c r="I135" s="35"/>
      <c r="J135" s="27">
        <f>F135*1</f>
        <v>1.1000000000000001</v>
      </c>
      <c r="K135" s="100">
        <v>8000</v>
      </c>
      <c r="L135" s="57"/>
      <c r="M135" s="32"/>
      <c r="N135" s="31">
        <f t="shared" si="21"/>
        <v>8000</v>
      </c>
      <c r="O135" s="3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</row>
    <row r="136" spans="1:28" ht="15" hidden="1" customHeight="1">
      <c r="A136" s="22">
        <v>89</v>
      </c>
      <c r="B136" s="94" t="s">
        <v>198</v>
      </c>
      <c r="C136" s="55">
        <v>244</v>
      </c>
      <c r="D136" s="94"/>
      <c r="E136" s="72" t="s">
        <v>57</v>
      </c>
      <c r="F136" s="34"/>
      <c r="G136" s="34"/>
      <c r="H136" s="34"/>
      <c r="I136" s="35"/>
      <c r="J136" s="27"/>
      <c r="K136" s="100">
        <f>6000-6000</f>
        <v>0</v>
      </c>
      <c r="L136" s="57"/>
      <c r="M136" s="32"/>
      <c r="N136" s="31">
        <f t="shared" si="21"/>
        <v>0</v>
      </c>
      <c r="O136" s="3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</row>
    <row r="137" spans="1:28" ht="30" customHeight="1">
      <c r="A137" s="22">
        <v>90</v>
      </c>
      <c r="B137" s="94" t="s">
        <v>199</v>
      </c>
      <c r="C137" s="55">
        <v>244</v>
      </c>
      <c r="D137" s="94"/>
      <c r="E137" s="72" t="s">
        <v>200</v>
      </c>
      <c r="F137" s="22">
        <v>65.599999999999994</v>
      </c>
      <c r="G137" s="22">
        <v>46.42</v>
      </c>
      <c r="H137" s="22">
        <v>31.1</v>
      </c>
      <c r="I137" s="35"/>
      <c r="J137" s="27">
        <f>F137*1</f>
        <v>65.599999999999994</v>
      </c>
      <c r="K137" s="100">
        <v>61000</v>
      </c>
      <c r="L137" s="76"/>
      <c r="M137" s="32">
        <v>1280</v>
      </c>
      <c r="N137" s="56">
        <f t="shared" si="21"/>
        <v>59720</v>
      </c>
      <c r="O137" s="3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</row>
    <row r="138" spans="1:28" ht="30" customHeight="1">
      <c r="A138" s="22">
        <v>91</v>
      </c>
      <c r="B138" s="94" t="s">
        <v>201</v>
      </c>
      <c r="C138" s="55">
        <v>244</v>
      </c>
      <c r="D138" s="94"/>
      <c r="E138" s="72" t="s">
        <v>103</v>
      </c>
      <c r="F138" s="22"/>
      <c r="G138" s="22"/>
      <c r="H138" s="22"/>
      <c r="I138" s="35"/>
      <c r="J138" s="27"/>
      <c r="K138" s="100">
        <v>25000</v>
      </c>
      <c r="L138" s="76"/>
      <c r="M138" s="32"/>
      <c r="N138" s="56">
        <f t="shared" si="21"/>
        <v>25000</v>
      </c>
      <c r="O138" s="3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ht="38.4" hidden="1" customHeight="1">
      <c r="A139" s="22">
        <v>168</v>
      </c>
      <c r="B139" s="94">
        <v>3697000</v>
      </c>
      <c r="C139" s="55">
        <v>244</v>
      </c>
      <c r="D139" s="94"/>
      <c r="E139" s="72" t="s">
        <v>104</v>
      </c>
      <c r="F139" s="22"/>
      <c r="G139" s="22"/>
      <c r="H139" s="22"/>
      <c r="I139" s="35"/>
      <c r="J139" s="27"/>
      <c r="K139" s="100"/>
      <c r="L139" s="76"/>
      <c r="M139" s="32"/>
      <c r="N139" s="56">
        <f t="shared" si="21"/>
        <v>0</v>
      </c>
      <c r="O139" s="3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ht="22.2" customHeight="1">
      <c r="A140" s="22">
        <v>92</v>
      </c>
      <c r="B140" s="94" t="s">
        <v>202</v>
      </c>
      <c r="C140" s="55">
        <v>244</v>
      </c>
      <c r="D140" s="94"/>
      <c r="E140" s="72" t="s">
        <v>119</v>
      </c>
      <c r="F140" s="22"/>
      <c r="G140" s="22"/>
      <c r="H140" s="22"/>
      <c r="I140" s="35"/>
      <c r="J140" s="27"/>
      <c r="K140" s="100">
        <v>13000</v>
      </c>
      <c r="L140" s="76"/>
      <c r="M140" s="32"/>
      <c r="N140" s="56">
        <f t="shared" si="21"/>
        <v>13000</v>
      </c>
      <c r="O140" s="3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ht="21" customHeight="1">
      <c r="A141" s="22">
        <v>92</v>
      </c>
      <c r="B141" s="94" t="s">
        <v>203</v>
      </c>
      <c r="C141" s="55">
        <v>244</v>
      </c>
      <c r="D141" s="94"/>
      <c r="E141" s="72" t="s">
        <v>120</v>
      </c>
      <c r="F141" s="22"/>
      <c r="G141" s="22"/>
      <c r="H141" s="22"/>
      <c r="I141" s="35"/>
      <c r="J141" s="27"/>
      <c r="K141" s="100">
        <v>6000</v>
      </c>
      <c r="L141" s="76"/>
      <c r="M141" s="32"/>
      <c r="N141" s="56">
        <f t="shared" si="21"/>
        <v>6000</v>
      </c>
      <c r="O141" s="3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ht="22.2" hidden="1" customHeight="1">
      <c r="A142" s="22">
        <v>112</v>
      </c>
      <c r="B142" s="94">
        <v>2691000</v>
      </c>
      <c r="C142" s="94"/>
      <c r="D142" s="94"/>
      <c r="E142" s="72" t="s">
        <v>121</v>
      </c>
      <c r="F142" s="22"/>
      <c r="G142" s="22"/>
      <c r="H142" s="22"/>
      <c r="I142" s="35"/>
      <c r="J142" s="27"/>
      <c r="K142" s="100"/>
      <c r="L142" s="76"/>
      <c r="M142" s="32"/>
      <c r="N142" s="56">
        <f t="shared" si="21"/>
        <v>0</v>
      </c>
      <c r="O142" s="3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28.95" customHeight="1">
      <c r="A143" s="22">
        <v>93</v>
      </c>
      <c r="B143" s="94" t="s">
        <v>204</v>
      </c>
      <c r="C143" s="55">
        <v>244</v>
      </c>
      <c r="D143" s="94"/>
      <c r="E143" s="72" t="s">
        <v>265</v>
      </c>
      <c r="F143" s="22"/>
      <c r="G143" s="22"/>
      <c r="H143" s="22"/>
      <c r="I143" s="35"/>
      <c r="J143" s="27"/>
      <c r="K143" s="100">
        <v>60000</v>
      </c>
      <c r="L143" s="76"/>
      <c r="M143" s="32"/>
      <c r="N143" s="56">
        <f t="shared" si="21"/>
        <v>60000</v>
      </c>
      <c r="O143" s="3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</row>
    <row r="144" spans="1:28" ht="19.2" customHeight="1">
      <c r="A144" s="93" t="s">
        <v>205</v>
      </c>
      <c r="B144" s="94" t="s">
        <v>206</v>
      </c>
      <c r="C144" s="55">
        <v>244</v>
      </c>
      <c r="D144" s="94"/>
      <c r="E144" s="72" t="s">
        <v>9</v>
      </c>
      <c r="F144" s="22"/>
      <c r="G144" s="22"/>
      <c r="H144" s="22"/>
      <c r="I144" s="35"/>
      <c r="J144" s="27"/>
      <c r="K144" s="100">
        <v>21000</v>
      </c>
      <c r="L144" s="57"/>
      <c r="M144" s="32"/>
      <c r="N144" s="56">
        <f t="shared" si="21"/>
        <v>21000</v>
      </c>
      <c r="O144" s="3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32" ht="18.75" hidden="1" customHeight="1">
      <c r="A145" s="93" t="s">
        <v>85</v>
      </c>
      <c r="B145" s="94">
        <v>3020000</v>
      </c>
      <c r="C145" s="55">
        <v>244</v>
      </c>
      <c r="D145" s="94"/>
      <c r="E145" s="72" t="s">
        <v>86</v>
      </c>
      <c r="F145" s="22">
        <v>122.6</v>
      </c>
      <c r="G145" s="22">
        <v>134.6</v>
      </c>
      <c r="H145" s="22">
        <v>134.5</v>
      </c>
      <c r="I145" s="35"/>
      <c r="J145" s="27">
        <f t="shared" ref="J145:J152" si="22">F145*1</f>
        <v>122.6</v>
      </c>
      <c r="K145" s="100"/>
      <c r="L145" s="57"/>
      <c r="M145" s="32"/>
      <c r="N145" s="56">
        <f t="shared" si="21"/>
        <v>0</v>
      </c>
      <c r="O145" s="3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32" ht="16.5" hidden="1" customHeight="1">
      <c r="A146" s="22"/>
      <c r="B146" s="94"/>
      <c r="C146" s="55">
        <v>244</v>
      </c>
      <c r="D146" s="94"/>
      <c r="E146" s="72" t="s">
        <v>6</v>
      </c>
      <c r="F146" s="22"/>
      <c r="G146" s="22"/>
      <c r="H146" s="22"/>
      <c r="I146" s="35"/>
      <c r="J146" s="27">
        <f t="shared" si="22"/>
        <v>0</v>
      </c>
      <c r="K146" s="100"/>
      <c r="L146" s="57"/>
      <c r="M146" s="32"/>
      <c r="N146" s="31">
        <f t="shared" si="21"/>
        <v>0</v>
      </c>
      <c r="O146" s="3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32" ht="16.2" customHeight="1">
      <c r="A147" s="22">
        <v>95</v>
      </c>
      <c r="B147" s="94" t="s">
        <v>207</v>
      </c>
      <c r="C147" s="55">
        <v>244</v>
      </c>
      <c r="D147" s="94"/>
      <c r="E147" s="152" t="s">
        <v>133</v>
      </c>
      <c r="F147" s="22">
        <v>26.2</v>
      </c>
      <c r="G147" s="22">
        <v>26.2</v>
      </c>
      <c r="H147" s="22">
        <v>3.6</v>
      </c>
      <c r="I147" s="35"/>
      <c r="J147" s="27">
        <f t="shared" si="22"/>
        <v>26.2</v>
      </c>
      <c r="K147" s="100">
        <v>18000</v>
      </c>
      <c r="L147" s="57"/>
      <c r="M147" s="32"/>
      <c r="N147" s="31">
        <f t="shared" si="21"/>
        <v>18000</v>
      </c>
      <c r="O147" s="3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</row>
    <row r="148" spans="1:32" ht="14.4" hidden="1" customHeight="1">
      <c r="A148" s="22"/>
      <c r="B148" s="94"/>
      <c r="C148" s="55">
        <v>244</v>
      </c>
      <c r="D148" s="94"/>
      <c r="E148" s="72" t="s">
        <v>26</v>
      </c>
      <c r="F148" s="22"/>
      <c r="G148" s="22"/>
      <c r="H148" s="22"/>
      <c r="I148" s="35"/>
      <c r="J148" s="27">
        <f t="shared" si="22"/>
        <v>0</v>
      </c>
      <c r="K148" s="100"/>
      <c r="L148" s="71"/>
      <c r="M148" s="32"/>
      <c r="N148" s="31">
        <f t="shared" si="21"/>
        <v>0</v>
      </c>
      <c r="O148" s="3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32" ht="12.6" hidden="1" customHeight="1">
      <c r="A149" s="22"/>
      <c r="B149" s="94"/>
      <c r="C149" s="55">
        <v>244</v>
      </c>
      <c r="D149" s="94"/>
      <c r="E149" s="72" t="s">
        <v>27</v>
      </c>
      <c r="F149" s="22">
        <v>5</v>
      </c>
      <c r="G149" s="22">
        <v>5</v>
      </c>
      <c r="H149" s="22">
        <v>1.7</v>
      </c>
      <c r="I149" s="35"/>
      <c r="J149" s="27">
        <f t="shared" si="22"/>
        <v>5</v>
      </c>
      <c r="K149" s="100"/>
      <c r="L149" s="57"/>
      <c r="M149" s="32"/>
      <c r="N149" s="31">
        <f t="shared" si="21"/>
        <v>0</v>
      </c>
      <c r="O149" s="3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</row>
    <row r="150" spans="1:32" ht="16.2" hidden="1" customHeight="1">
      <c r="A150" s="22"/>
      <c r="B150" s="94"/>
      <c r="C150" s="55">
        <v>244</v>
      </c>
      <c r="D150" s="94"/>
      <c r="E150" s="72" t="s">
        <v>88</v>
      </c>
      <c r="F150" s="22">
        <v>2.2000000000000002</v>
      </c>
      <c r="G150" s="22">
        <v>0.2</v>
      </c>
      <c r="H150" s="22"/>
      <c r="I150" s="35"/>
      <c r="J150" s="27">
        <f t="shared" si="22"/>
        <v>2.2000000000000002</v>
      </c>
      <c r="K150" s="100"/>
      <c r="L150" s="57"/>
      <c r="M150" s="32"/>
      <c r="N150" s="31">
        <f t="shared" si="21"/>
        <v>0</v>
      </c>
      <c r="O150" s="3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32" ht="18" customHeight="1">
      <c r="A151" s="22">
        <v>96</v>
      </c>
      <c r="B151" s="94" t="s">
        <v>208</v>
      </c>
      <c r="C151" s="55">
        <v>244</v>
      </c>
      <c r="D151" s="94"/>
      <c r="E151" s="72" t="s">
        <v>64</v>
      </c>
      <c r="F151" s="22">
        <v>2.5</v>
      </c>
      <c r="G151" s="22">
        <v>0.5</v>
      </c>
      <c r="H151" s="22"/>
      <c r="I151" s="35"/>
      <c r="J151" s="27">
        <f t="shared" si="22"/>
        <v>2.5</v>
      </c>
      <c r="K151" s="100">
        <v>8000</v>
      </c>
      <c r="L151" s="57"/>
      <c r="M151" s="32"/>
      <c r="N151" s="31">
        <f t="shared" si="21"/>
        <v>8000</v>
      </c>
      <c r="O151" s="3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32" ht="21.6" customHeight="1">
      <c r="A152" s="22">
        <v>97</v>
      </c>
      <c r="B152" s="94" t="s">
        <v>209</v>
      </c>
      <c r="C152" s="55">
        <v>244</v>
      </c>
      <c r="D152" s="94"/>
      <c r="E152" s="72" t="s">
        <v>72</v>
      </c>
      <c r="F152" s="22">
        <v>1.3</v>
      </c>
      <c r="G152" s="22">
        <v>1.3</v>
      </c>
      <c r="H152" s="22"/>
      <c r="I152" s="35"/>
      <c r="J152" s="27">
        <f t="shared" si="22"/>
        <v>1.3</v>
      </c>
      <c r="K152" s="100">
        <v>500</v>
      </c>
      <c r="L152" s="57"/>
      <c r="M152" s="32"/>
      <c r="N152" s="31">
        <f t="shared" si="21"/>
        <v>500</v>
      </c>
      <c r="O152" s="3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32" ht="19.95" customHeight="1">
      <c r="A153" s="22"/>
      <c r="B153" s="164"/>
      <c r="C153" s="163"/>
      <c r="D153" s="163"/>
      <c r="E153" s="186" t="s">
        <v>211</v>
      </c>
      <c r="F153" s="96">
        <f>F111+F101+F12+F7</f>
        <v>23572.5</v>
      </c>
      <c r="G153" s="96">
        <f>G111+G101+G12+G7</f>
        <v>22627.1</v>
      </c>
      <c r="H153" s="96">
        <f>H111+H101+H12+H7</f>
        <v>20087.849999999999</v>
      </c>
      <c r="I153" s="97"/>
      <c r="J153" s="98">
        <f>J111+J101+J12+J7</f>
        <v>26714.1368</v>
      </c>
      <c r="K153" s="154">
        <f>K111+K101+K12+K7</f>
        <v>49235000</v>
      </c>
      <c r="L153" s="155">
        <f>L111+L101+L12+L7</f>
        <v>0</v>
      </c>
      <c r="M153" s="156">
        <f>M111+M101+M12+M7</f>
        <v>4463402.41</v>
      </c>
      <c r="N153" s="156">
        <f t="shared" ref="N153:AB153" si="23">N111+N101+N12+N7</f>
        <v>44694497.590000004</v>
      </c>
      <c r="O153" s="156">
        <f t="shared" si="23"/>
        <v>38990.400000000001</v>
      </c>
      <c r="P153" s="156">
        <f t="shared" si="23"/>
        <v>0</v>
      </c>
      <c r="Q153" s="156">
        <f t="shared" si="23"/>
        <v>0</v>
      </c>
      <c r="R153" s="156">
        <f t="shared" si="23"/>
        <v>0</v>
      </c>
      <c r="S153" s="156">
        <f t="shared" si="23"/>
        <v>0</v>
      </c>
      <c r="T153" s="156">
        <f t="shared" si="23"/>
        <v>0</v>
      </c>
      <c r="U153" s="156">
        <f t="shared" si="23"/>
        <v>0</v>
      </c>
      <c r="V153" s="156">
        <f t="shared" si="23"/>
        <v>0</v>
      </c>
      <c r="W153" s="156">
        <f t="shared" si="23"/>
        <v>0</v>
      </c>
      <c r="X153" s="156">
        <f t="shared" si="23"/>
        <v>0</v>
      </c>
      <c r="Y153" s="156">
        <f t="shared" si="23"/>
        <v>0</v>
      </c>
      <c r="Z153" s="156">
        <f t="shared" si="23"/>
        <v>0</v>
      </c>
      <c r="AA153" s="156">
        <f t="shared" si="23"/>
        <v>0</v>
      </c>
      <c r="AB153" s="156">
        <f t="shared" si="23"/>
        <v>0</v>
      </c>
      <c r="AD153" s="6"/>
      <c r="AE153" s="116"/>
    </row>
    <row r="154" spans="1:32" ht="21.6" customHeight="1">
      <c r="A154" s="22"/>
      <c r="B154" s="99"/>
      <c r="C154" s="99"/>
      <c r="D154" s="99"/>
      <c r="E154" s="215" t="s">
        <v>106</v>
      </c>
      <c r="F154" s="22">
        <v>1.3</v>
      </c>
      <c r="G154" s="22">
        <v>1.3</v>
      </c>
      <c r="H154" s="22"/>
      <c r="I154" s="35"/>
      <c r="J154" s="27">
        <f>F154*1</f>
        <v>1.3</v>
      </c>
      <c r="K154" s="126"/>
      <c r="L154" s="185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16"/>
      <c r="AD154" s="6"/>
      <c r="AE154" s="116"/>
      <c r="AF154" s="116"/>
    </row>
    <row r="155" spans="1:32" ht="34.200000000000003" customHeight="1">
      <c r="A155" s="22"/>
      <c r="B155" s="148" t="s">
        <v>314</v>
      </c>
      <c r="C155" s="201">
        <v>244</v>
      </c>
      <c r="D155" s="198" t="s">
        <v>241</v>
      </c>
      <c r="E155" s="218" t="s">
        <v>75</v>
      </c>
      <c r="F155" s="175"/>
      <c r="G155" s="175"/>
      <c r="H155" s="175"/>
      <c r="I155" s="176"/>
      <c r="J155" s="177"/>
      <c r="K155" s="100">
        <f>1494316000-125000000</f>
        <v>1369316000</v>
      </c>
      <c r="L155" s="73"/>
      <c r="M155" s="100">
        <v>249256126.69999999</v>
      </c>
      <c r="N155" s="100">
        <f t="shared" ref="N155:AA155" si="24">SUM(N156:N168)</f>
        <v>483569100.39999998</v>
      </c>
      <c r="O155" s="196">
        <f t="shared" si="24"/>
        <v>0</v>
      </c>
      <c r="P155" s="196">
        <f t="shared" si="24"/>
        <v>0</v>
      </c>
      <c r="Q155" s="178">
        <f t="shared" si="24"/>
        <v>0</v>
      </c>
      <c r="R155" s="178">
        <f t="shared" si="24"/>
        <v>0</v>
      </c>
      <c r="S155" s="178">
        <f t="shared" si="24"/>
        <v>0</v>
      </c>
      <c r="T155" s="178">
        <f t="shared" si="24"/>
        <v>0</v>
      </c>
      <c r="U155" s="178">
        <f t="shared" si="24"/>
        <v>0</v>
      </c>
      <c r="V155" s="178">
        <f t="shared" si="24"/>
        <v>0</v>
      </c>
      <c r="W155" s="178">
        <f t="shared" si="24"/>
        <v>0</v>
      </c>
      <c r="X155" s="178">
        <f t="shared" si="24"/>
        <v>0</v>
      </c>
      <c r="Y155" s="178">
        <f t="shared" si="24"/>
        <v>0</v>
      </c>
      <c r="Z155" s="178">
        <f t="shared" si="24"/>
        <v>0</v>
      </c>
      <c r="AA155" s="178">
        <f t="shared" si="24"/>
        <v>0</v>
      </c>
      <c r="AB155" s="178"/>
      <c r="AC155" s="116"/>
      <c r="AD155" s="6"/>
      <c r="AE155" s="116"/>
    </row>
    <row r="156" spans="1:32" ht="24.6" customHeight="1">
      <c r="A156" s="22"/>
      <c r="B156" s="199">
        <v>1310004300</v>
      </c>
      <c r="C156" s="145">
        <v>244</v>
      </c>
      <c r="D156" s="219" t="s">
        <v>241</v>
      </c>
      <c r="E156" s="204" t="s">
        <v>313</v>
      </c>
      <c r="F156" s="22"/>
      <c r="G156" s="22"/>
      <c r="H156" s="22"/>
      <c r="I156" s="35"/>
      <c r="J156" s="27"/>
      <c r="K156" s="100">
        <v>125000000</v>
      </c>
      <c r="L156" s="69"/>
      <c r="M156" s="120">
        <v>8656909.5999999996</v>
      </c>
      <c r="N156" s="31">
        <f t="shared" ref="N156:N183" si="25">K156-M156</f>
        <v>116343090.40000001</v>
      </c>
      <c r="O156" s="32"/>
      <c r="P156" s="101"/>
      <c r="Q156" s="31"/>
      <c r="R156" s="3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80"/>
      <c r="AC156" s="116"/>
      <c r="AD156" s="6"/>
      <c r="AE156" s="116"/>
    </row>
    <row r="157" spans="1:32" ht="24" hidden="1" customHeight="1">
      <c r="A157" s="22"/>
      <c r="B157" s="200"/>
      <c r="C157" s="145">
        <v>244</v>
      </c>
      <c r="D157" s="200"/>
      <c r="E157" s="204" t="s">
        <v>250</v>
      </c>
      <c r="F157" s="22"/>
      <c r="G157" s="22"/>
      <c r="H157" s="22"/>
      <c r="I157" s="35"/>
      <c r="J157" s="27"/>
      <c r="K157" s="100">
        <v>49744604.109999999</v>
      </c>
      <c r="L157" s="69"/>
      <c r="M157" s="120"/>
      <c r="N157" s="31">
        <f t="shared" si="25"/>
        <v>49744604.109999999</v>
      </c>
      <c r="O157" s="32"/>
      <c r="P157" s="101"/>
      <c r="Q157" s="31"/>
      <c r="R157" s="3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80"/>
      <c r="AC157" s="116"/>
      <c r="AD157" s="6"/>
      <c r="AE157" s="116"/>
    </row>
    <row r="158" spans="1:32" ht="23.4" hidden="1" customHeight="1">
      <c r="A158" s="22"/>
      <c r="B158" s="200"/>
      <c r="C158" s="145">
        <v>244</v>
      </c>
      <c r="D158" s="200"/>
      <c r="E158" s="204" t="s">
        <v>96</v>
      </c>
      <c r="F158" s="22">
        <v>1.6</v>
      </c>
      <c r="G158" s="22">
        <v>1.6</v>
      </c>
      <c r="H158" s="22">
        <v>0.6</v>
      </c>
      <c r="I158" s="35"/>
      <c r="J158" s="27">
        <f>F158*1</f>
        <v>1.6</v>
      </c>
      <c r="K158" s="115">
        <f>339317.8+12599370.78</f>
        <v>12938688.58</v>
      </c>
      <c r="L158" s="69"/>
      <c r="M158" s="120"/>
      <c r="N158" s="31">
        <f t="shared" si="25"/>
        <v>12938688.58</v>
      </c>
      <c r="O158" s="32"/>
      <c r="P158" s="84"/>
      <c r="Q158" s="31"/>
      <c r="R158" s="101"/>
      <c r="S158" s="31"/>
      <c r="T158" s="31"/>
      <c r="U158" s="31"/>
      <c r="V158" s="31"/>
      <c r="W158" s="31"/>
      <c r="X158" s="31"/>
      <c r="Y158" s="31"/>
      <c r="Z158" s="31"/>
      <c r="AA158" s="31"/>
      <c r="AB158" s="180"/>
      <c r="AC158" s="116"/>
      <c r="AD158" s="6"/>
      <c r="AE158" s="116"/>
    </row>
    <row r="159" spans="1:32" ht="19.2" hidden="1" customHeight="1">
      <c r="A159" s="22"/>
      <c r="B159" s="200"/>
      <c r="C159" s="145">
        <v>244</v>
      </c>
      <c r="D159" s="200"/>
      <c r="E159" s="204" t="s">
        <v>130</v>
      </c>
      <c r="F159" s="22"/>
      <c r="G159" s="22"/>
      <c r="H159" s="22"/>
      <c r="I159" s="35"/>
      <c r="J159" s="73"/>
      <c r="K159" s="100">
        <v>20276249</v>
      </c>
      <c r="L159" s="69"/>
      <c r="M159" s="120"/>
      <c r="N159" s="31">
        <f t="shared" si="25"/>
        <v>20276249</v>
      </c>
      <c r="O159" s="32"/>
      <c r="P159" s="84"/>
      <c r="Q159" s="31"/>
      <c r="R159" s="101"/>
      <c r="S159" s="31"/>
      <c r="T159" s="31"/>
      <c r="U159" s="31"/>
      <c r="V159" s="31"/>
      <c r="W159" s="31"/>
      <c r="X159" s="31"/>
      <c r="Y159" s="31"/>
      <c r="Z159" s="31"/>
      <c r="AA159" s="31"/>
      <c r="AB159" s="180"/>
      <c r="AC159" s="116"/>
      <c r="AD159" s="6"/>
      <c r="AE159" s="116"/>
    </row>
    <row r="160" spans="1:32" ht="34.950000000000003" hidden="1" customHeight="1">
      <c r="A160" s="22"/>
      <c r="B160" s="201"/>
      <c r="C160" s="145">
        <v>244</v>
      </c>
      <c r="D160" s="201"/>
      <c r="E160" s="204" t="s">
        <v>247</v>
      </c>
      <c r="F160" s="22"/>
      <c r="G160" s="22"/>
      <c r="H160" s="22"/>
      <c r="I160" s="35"/>
      <c r="J160" s="73"/>
      <c r="K160" s="100">
        <v>3607213.3</v>
      </c>
      <c r="L160" s="69"/>
      <c r="M160" s="120"/>
      <c r="N160" s="31">
        <f t="shared" si="25"/>
        <v>3607213.3</v>
      </c>
      <c r="O160" s="32"/>
      <c r="P160" s="84"/>
      <c r="Q160" s="31"/>
      <c r="R160" s="101"/>
      <c r="S160" s="31"/>
      <c r="T160" s="31"/>
      <c r="U160" s="31"/>
      <c r="V160" s="31"/>
      <c r="W160" s="31"/>
      <c r="X160" s="31"/>
      <c r="Y160" s="31"/>
      <c r="Z160" s="31"/>
      <c r="AA160" s="31"/>
      <c r="AB160" s="180"/>
      <c r="AC160" s="116"/>
      <c r="AD160" s="6"/>
      <c r="AE160" s="116"/>
    </row>
    <row r="161" spans="1:31" ht="31.95" hidden="1" customHeight="1">
      <c r="A161" s="22"/>
      <c r="B161" s="201"/>
      <c r="C161" s="145">
        <v>244</v>
      </c>
      <c r="D161" s="201"/>
      <c r="E161" s="204" t="s">
        <v>272</v>
      </c>
      <c r="F161" s="22"/>
      <c r="G161" s="22"/>
      <c r="H161" s="22"/>
      <c r="I161" s="35"/>
      <c r="J161" s="73"/>
      <c r="K161" s="100">
        <f>138771271.25+125564562.62</f>
        <v>264335833.87</v>
      </c>
      <c r="L161" s="69"/>
      <c r="M161" s="120"/>
      <c r="N161" s="31">
        <f t="shared" si="25"/>
        <v>264335833.87</v>
      </c>
      <c r="O161" s="32"/>
      <c r="P161" s="84"/>
      <c r="Q161" s="31"/>
      <c r="R161" s="101"/>
      <c r="S161" s="31"/>
      <c r="T161" s="31"/>
      <c r="U161" s="31"/>
      <c r="V161" s="31"/>
      <c r="W161" s="31"/>
      <c r="X161" s="31"/>
      <c r="Y161" s="31"/>
      <c r="Z161" s="31"/>
      <c r="AA161" s="31"/>
      <c r="AB161" s="180"/>
      <c r="AC161" s="116"/>
      <c r="AD161" s="6"/>
      <c r="AE161" s="116"/>
    </row>
    <row r="162" spans="1:31" ht="21" hidden="1" customHeight="1">
      <c r="A162" s="22"/>
      <c r="B162" s="201"/>
      <c r="C162" s="145">
        <v>244</v>
      </c>
      <c r="D162" s="201"/>
      <c r="E162" s="204" t="s">
        <v>128</v>
      </c>
      <c r="F162" s="22"/>
      <c r="G162" s="22"/>
      <c r="H162" s="22"/>
      <c r="I162" s="35"/>
      <c r="J162" s="73"/>
      <c r="K162" s="100">
        <v>86.3</v>
      </c>
      <c r="L162" s="69"/>
      <c r="M162" s="120"/>
      <c r="N162" s="31">
        <f t="shared" si="25"/>
        <v>86.3</v>
      </c>
      <c r="O162" s="32"/>
      <c r="P162" s="84"/>
      <c r="Q162" s="31"/>
      <c r="R162" s="101"/>
      <c r="S162" s="31"/>
      <c r="T162" s="31"/>
      <c r="U162" s="31"/>
      <c r="V162" s="31"/>
      <c r="W162" s="31"/>
      <c r="X162" s="31"/>
      <c r="Y162" s="31"/>
      <c r="Z162" s="31"/>
      <c r="AA162" s="31"/>
      <c r="AB162" s="180"/>
      <c r="AC162" s="116"/>
      <c r="AD162" s="6"/>
      <c r="AE162" s="116"/>
    </row>
    <row r="163" spans="1:31" ht="21" hidden="1" customHeight="1">
      <c r="A163" s="22"/>
      <c r="B163" s="201"/>
      <c r="C163" s="145">
        <v>244</v>
      </c>
      <c r="D163" s="201"/>
      <c r="E163" s="204" t="s">
        <v>281</v>
      </c>
      <c r="F163" s="22"/>
      <c r="G163" s="22"/>
      <c r="H163" s="22"/>
      <c r="I163" s="35"/>
      <c r="J163" s="73"/>
      <c r="K163" s="100">
        <f>197827+189756</f>
        <v>387583</v>
      </c>
      <c r="L163" s="69"/>
      <c r="M163" s="120"/>
      <c r="N163" s="31">
        <f t="shared" si="25"/>
        <v>387583</v>
      </c>
      <c r="O163" s="32"/>
      <c r="P163" s="84"/>
      <c r="Q163" s="31"/>
      <c r="R163" s="101"/>
      <c r="S163" s="31"/>
      <c r="T163" s="31"/>
      <c r="U163" s="31"/>
      <c r="V163" s="31"/>
      <c r="W163" s="31"/>
      <c r="X163" s="31"/>
      <c r="Y163" s="31"/>
      <c r="Z163" s="31"/>
      <c r="AA163" s="31"/>
      <c r="AB163" s="180"/>
      <c r="AC163" s="116"/>
      <c r="AD163" s="6"/>
      <c r="AE163" s="116"/>
    </row>
    <row r="164" spans="1:31" ht="30" hidden="1" customHeight="1">
      <c r="A164" s="22"/>
      <c r="B164" s="201"/>
      <c r="C164" s="145">
        <v>244</v>
      </c>
      <c r="D164" s="201"/>
      <c r="E164" s="204" t="s">
        <v>276</v>
      </c>
      <c r="F164" s="22"/>
      <c r="G164" s="22"/>
      <c r="H164" s="22"/>
      <c r="I164" s="35"/>
      <c r="J164" s="73"/>
      <c r="K164" s="100">
        <v>298425</v>
      </c>
      <c r="L164" s="69"/>
      <c r="M164" s="120"/>
      <c r="N164" s="31">
        <f t="shared" si="25"/>
        <v>298425</v>
      </c>
      <c r="O164" s="32"/>
      <c r="P164" s="84"/>
      <c r="Q164" s="31"/>
      <c r="R164" s="101"/>
      <c r="S164" s="31"/>
      <c r="T164" s="31"/>
      <c r="U164" s="31"/>
      <c r="V164" s="31"/>
      <c r="W164" s="31"/>
      <c r="X164" s="31"/>
      <c r="Y164" s="31"/>
      <c r="Z164" s="31"/>
      <c r="AA164" s="31"/>
      <c r="AB164" s="180"/>
      <c r="AC164" s="116"/>
      <c r="AD164" s="6"/>
      <c r="AE164" s="116"/>
    </row>
    <row r="165" spans="1:31" ht="25.2" hidden="1" customHeight="1">
      <c r="A165" s="22"/>
      <c r="B165" s="201"/>
      <c r="C165" s="145">
        <v>244</v>
      </c>
      <c r="D165" s="201"/>
      <c r="E165" s="204" t="s">
        <v>280</v>
      </c>
      <c r="F165" s="22"/>
      <c r="G165" s="22"/>
      <c r="H165" s="22"/>
      <c r="I165" s="35"/>
      <c r="J165" s="73"/>
      <c r="K165" s="100">
        <f>1416307.7+99581+13333187.14</f>
        <v>14849075.84</v>
      </c>
      <c r="L165" s="69"/>
      <c r="M165" s="120"/>
      <c r="N165" s="31">
        <f t="shared" si="25"/>
        <v>14849075.84</v>
      </c>
      <c r="O165" s="32"/>
      <c r="P165" s="84"/>
      <c r="Q165" s="31"/>
      <c r="R165" s="101"/>
      <c r="S165" s="31"/>
      <c r="T165" s="31"/>
      <c r="U165" s="31"/>
      <c r="V165" s="31"/>
      <c r="W165" s="31"/>
      <c r="X165" s="31"/>
      <c r="Y165" s="31"/>
      <c r="Z165" s="31"/>
      <c r="AA165" s="31"/>
      <c r="AB165" s="180"/>
      <c r="AC165" s="116"/>
      <c r="AD165" s="6"/>
      <c r="AE165" s="116"/>
    </row>
    <row r="166" spans="1:31" ht="25.2" hidden="1" customHeight="1">
      <c r="A166" s="22"/>
      <c r="B166" s="201"/>
      <c r="C166" s="145">
        <v>244</v>
      </c>
      <c r="D166" s="201"/>
      <c r="E166" s="204" t="s">
        <v>285</v>
      </c>
      <c r="F166" s="22"/>
      <c r="G166" s="22"/>
      <c r="H166" s="22"/>
      <c r="I166" s="35"/>
      <c r="J166" s="73"/>
      <c r="K166" s="100">
        <v>191369</v>
      </c>
      <c r="L166" s="69"/>
      <c r="M166" s="120"/>
      <c r="N166" s="31">
        <f t="shared" si="25"/>
        <v>191369</v>
      </c>
      <c r="O166" s="32"/>
      <c r="P166" s="84"/>
      <c r="Q166" s="31"/>
      <c r="R166" s="101"/>
      <c r="S166" s="31"/>
      <c r="T166" s="31"/>
      <c r="U166" s="31"/>
      <c r="V166" s="31"/>
      <c r="W166" s="31"/>
      <c r="X166" s="31"/>
      <c r="Y166" s="31"/>
      <c r="Z166" s="31"/>
      <c r="AA166" s="31"/>
      <c r="AB166" s="180"/>
      <c r="AC166" s="116"/>
      <c r="AD166" s="6"/>
      <c r="AE166" s="116"/>
    </row>
    <row r="167" spans="1:31" ht="25.2" hidden="1" customHeight="1">
      <c r="A167" s="22"/>
      <c r="B167" s="201"/>
      <c r="C167" s="145"/>
      <c r="D167" s="201"/>
      <c r="E167" s="204" t="s">
        <v>286</v>
      </c>
      <c r="F167" s="22"/>
      <c r="G167" s="22"/>
      <c r="H167" s="22"/>
      <c r="I167" s="35"/>
      <c r="J167" s="73"/>
      <c r="K167" s="100">
        <v>299465</v>
      </c>
      <c r="L167" s="69"/>
      <c r="M167" s="120"/>
      <c r="N167" s="31">
        <f t="shared" si="25"/>
        <v>299465</v>
      </c>
      <c r="O167" s="32"/>
      <c r="P167" s="84"/>
      <c r="Q167" s="31"/>
      <c r="R167" s="101"/>
      <c r="S167" s="31"/>
      <c r="T167" s="31"/>
      <c r="U167" s="31"/>
      <c r="V167" s="31"/>
      <c r="W167" s="31"/>
      <c r="X167" s="31"/>
      <c r="Y167" s="31"/>
      <c r="Z167" s="31"/>
      <c r="AA167" s="31"/>
      <c r="AB167" s="180"/>
      <c r="AC167" s="116"/>
      <c r="AD167" s="6"/>
      <c r="AE167" s="116"/>
    </row>
    <row r="168" spans="1:31" ht="19.2" hidden="1" customHeight="1">
      <c r="A168" s="22"/>
      <c r="B168" s="201"/>
      <c r="C168" s="145">
        <v>244</v>
      </c>
      <c r="D168" s="201"/>
      <c r="E168" s="204" t="s">
        <v>282</v>
      </c>
      <c r="F168" s="22"/>
      <c r="G168" s="22"/>
      <c r="H168" s="22"/>
      <c r="I168" s="35"/>
      <c r="J168" s="73"/>
      <c r="K168" s="100">
        <v>297417</v>
      </c>
      <c r="L168" s="69"/>
      <c r="M168" s="120"/>
      <c r="N168" s="31">
        <f t="shared" si="25"/>
        <v>297417</v>
      </c>
      <c r="O168" s="32"/>
      <c r="P168" s="84"/>
      <c r="Q168" s="31"/>
      <c r="R168" s="101"/>
      <c r="S168" s="31"/>
      <c r="T168" s="31"/>
      <c r="U168" s="31"/>
      <c r="V168" s="31"/>
      <c r="W168" s="31"/>
      <c r="X168" s="31"/>
      <c r="Y168" s="31"/>
      <c r="Z168" s="31"/>
      <c r="AA168" s="31"/>
      <c r="AB168" s="180"/>
      <c r="AC168" s="116"/>
      <c r="AD168" s="6"/>
      <c r="AE168" s="116"/>
    </row>
    <row r="169" spans="1:31" ht="40.950000000000003" hidden="1" customHeight="1">
      <c r="A169" s="22"/>
      <c r="B169" s="201">
        <v>1305390</v>
      </c>
      <c r="C169" s="201">
        <v>244</v>
      </c>
      <c r="D169" s="201">
        <v>225</v>
      </c>
      <c r="E169" s="205" t="s">
        <v>251</v>
      </c>
      <c r="F169" s="175"/>
      <c r="G169" s="175"/>
      <c r="H169" s="175"/>
      <c r="I169" s="176"/>
      <c r="J169" s="179"/>
      <c r="K169" s="182">
        <f>SUM(K170:K173)</f>
        <v>61982185.729999997</v>
      </c>
      <c r="L169" s="179"/>
      <c r="M169" s="183">
        <f>SUM(M170:M173)</f>
        <v>13087945</v>
      </c>
      <c r="N169" s="181">
        <f t="shared" si="25"/>
        <v>48894240.729999997</v>
      </c>
      <c r="O169" s="183"/>
      <c r="P169" s="184"/>
      <c r="Q169" s="181"/>
      <c r="R169" s="183">
        <f>SUM(R170:R173)</f>
        <v>0</v>
      </c>
      <c r="S169" s="183">
        <f>SUM(S170:S173)</f>
        <v>0</v>
      </c>
      <c r="T169" s="183">
        <f>SUM(T170:T173)</f>
        <v>0</v>
      </c>
      <c r="U169" s="183">
        <f>SUM(U170:U173)</f>
        <v>0</v>
      </c>
      <c r="V169" s="181"/>
      <c r="W169" s="181"/>
      <c r="X169" s="181"/>
      <c r="Y169" s="169"/>
      <c r="Z169" s="169"/>
      <c r="AA169" s="169"/>
      <c r="AB169" s="180"/>
      <c r="AC169" s="116"/>
      <c r="AD169" s="6"/>
      <c r="AE169" s="116"/>
    </row>
    <row r="170" spans="1:31" ht="22.95" hidden="1" customHeight="1">
      <c r="A170" s="22"/>
      <c r="B170" s="201"/>
      <c r="C170" s="145">
        <v>244</v>
      </c>
      <c r="D170" s="201"/>
      <c r="E170" s="204" t="s">
        <v>130</v>
      </c>
      <c r="F170" s="22"/>
      <c r="G170" s="22"/>
      <c r="H170" s="22"/>
      <c r="I170" s="35"/>
      <c r="J170" s="73"/>
      <c r="K170" s="100"/>
      <c r="L170" s="69"/>
      <c r="M170" s="120"/>
      <c r="N170" s="31">
        <f t="shared" si="25"/>
        <v>0</v>
      </c>
      <c r="O170" s="32"/>
      <c r="P170" s="84"/>
      <c r="Q170" s="31"/>
      <c r="R170" s="101"/>
      <c r="S170" s="31"/>
      <c r="T170" s="31"/>
      <c r="U170" s="31"/>
      <c r="V170" s="31"/>
      <c r="W170" s="31"/>
      <c r="X170" s="31"/>
      <c r="Y170" s="31"/>
      <c r="Z170" s="31"/>
      <c r="AA170" s="31"/>
      <c r="AB170" s="180"/>
      <c r="AC170" s="116"/>
      <c r="AD170" s="6"/>
      <c r="AE170" s="116"/>
    </row>
    <row r="171" spans="1:31" ht="23.4" hidden="1" customHeight="1">
      <c r="A171" s="22"/>
      <c r="B171" s="201"/>
      <c r="C171" s="145">
        <v>244</v>
      </c>
      <c r="D171" s="201"/>
      <c r="E171" s="204" t="s">
        <v>248</v>
      </c>
      <c r="F171" s="22"/>
      <c r="G171" s="22"/>
      <c r="H171" s="22"/>
      <c r="I171" s="35"/>
      <c r="J171" s="73"/>
      <c r="K171" s="100"/>
      <c r="L171" s="69"/>
      <c r="M171" s="120"/>
      <c r="N171" s="31">
        <f t="shared" si="25"/>
        <v>0</v>
      </c>
      <c r="O171" s="32"/>
      <c r="P171" s="84"/>
      <c r="Q171" s="31"/>
      <c r="R171" s="101"/>
      <c r="S171" s="31"/>
      <c r="T171" s="31"/>
      <c r="U171" s="31"/>
      <c r="V171" s="31"/>
      <c r="W171" s="31"/>
      <c r="X171" s="31"/>
      <c r="Y171" s="31"/>
      <c r="Z171" s="31"/>
      <c r="AA171" s="31"/>
      <c r="AB171" s="180"/>
      <c r="AC171" s="116"/>
      <c r="AD171" s="6"/>
      <c r="AE171" s="116"/>
    </row>
    <row r="172" spans="1:31" ht="4.2" hidden="1" customHeight="1">
      <c r="A172" s="22"/>
      <c r="B172" s="201"/>
      <c r="C172" s="201">
        <v>244</v>
      </c>
      <c r="D172" s="201"/>
      <c r="E172" s="204" t="s">
        <v>83</v>
      </c>
      <c r="F172" s="22"/>
      <c r="G172" s="22"/>
      <c r="H172" s="22"/>
      <c r="I172" s="35"/>
      <c r="J172" s="73"/>
      <c r="K172" s="100"/>
      <c r="L172" s="69"/>
      <c r="M172" s="120"/>
      <c r="N172" s="29">
        <f t="shared" si="25"/>
        <v>0</v>
      </c>
      <c r="O172" s="32"/>
      <c r="P172" s="84"/>
      <c r="Q172" s="31"/>
      <c r="R172" s="101"/>
      <c r="S172" s="31"/>
      <c r="T172" s="31"/>
      <c r="U172" s="31"/>
      <c r="V172" s="31"/>
      <c r="W172" s="31"/>
      <c r="X172" s="31"/>
      <c r="Y172" s="31"/>
      <c r="Z172" s="31"/>
      <c r="AA172" s="31"/>
      <c r="AB172" s="181"/>
      <c r="AC172" s="116"/>
      <c r="AD172" s="6"/>
      <c r="AE172" s="116"/>
    </row>
    <row r="173" spans="1:31" ht="21.6" customHeight="1">
      <c r="A173" s="22"/>
      <c r="B173" s="148" t="s">
        <v>314</v>
      </c>
      <c r="C173" s="201">
        <v>244</v>
      </c>
      <c r="D173" s="198" t="s">
        <v>241</v>
      </c>
      <c r="E173" s="204" t="s">
        <v>250</v>
      </c>
      <c r="F173" s="22"/>
      <c r="G173" s="22"/>
      <c r="H173" s="22"/>
      <c r="I173" s="35"/>
      <c r="J173" s="73"/>
      <c r="K173" s="100">
        <v>61982185.729999997</v>
      </c>
      <c r="L173" s="69"/>
      <c r="M173" s="120">
        <v>13087945</v>
      </c>
      <c r="N173" s="29">
        <f t="shared" si="25"/>
        <v>48894240.729999997</v>
      </c>
      <c r="O173" s="32"/>
      <c r="P173" s="84"/>
      <c r="Q173" s="31"/>
      <c r="R173" s="170"/>
      <c r="S173" s="31"/>
      <c r="T173" s="31"/>
      <c r="U173" s="31"/>
      <c r="V173" s="31"/>
      <c r="W173" s="31"/>
      <c r="X173" s="31"/>
      <c r="Y173" s="31"/>
      <c r="Z173" s="31"/>
      <c r="AA173" s="31"/>
      <c r="AB173" s="180"/>
      <c r="AC173" s="116"/>
      <c r="AD173" s="6"/>
      <c r="AE173" s="116"/>
    </row>
    <row r="174" spans="1:31" ht="22.2" customHeight="1">
      <c r="A174" s="22"/>
      <c r="B174" s="148" t="s">
        <v>314</v>
      </c>
      <c r="C174" s="201">
        <v>244</v>
      </c>
      <c r="D174" s="198" t="s">
        <v>242</v>
      </c>
      <c r="E174" s="203" t="s">
        <v>81</v>
      </c>
      <c r="F174" s="175"/>
      <c r="G174" s="175"/>
      <c r="H174" s="175"/>
      <c r="I174" s="176"/>
      <c r="J174" s="179"/>
      <c r="K174" s="100">
        <v>17120000</v>
      </c>
      <c r="L174" s="73"/>
      <c r="M174" s="100">
        <v>454</v>
      </c>
      <c r="N174" s="100">
        <f t="shared" ref="N174:AA174" si="26">SUM(N175:N183)</f>
        <v>2954200</v>
      </c>
      <c r="O174" s="196">
        <f t="shared" si="26"/>
        <v>0</v>
      </c>
      <c r="P174" s="196">
        <f t="shared" si="26"/>
        <v>0</v>
      </c>
      <c r="Q174" s="178">
        <f t="shared" si="26"/>
        <v>0</v>
      </c>
      <c r="R174" s="178">
        <f t="shared" si="26"/>
        <v>0</v>
      </c>
      <c r="S174" s="178">
        <f t="shared" si="26"/>
        <v>0</v>
      </c>
      <c r="T174" s="178">
        <f t="shared" si="26"/>
        <v>0</v>
      </c>
      <c r="U174" s="178">
        <f t="shared" si="26"/>
        <v>0</v>
      </c>
      <c r="V174" s="178">
        <f t="shared" si="26"/>
        <v>0</v>
      </c>
      <c r="W174" s="178">
        <f t="shared" si="26"/>
        <v>0</v>
      </c>
      <c r="X174" s="178">
        <f t="shared" si="26"/>
        <v>0</v>
      </c>
      <c r="Y174" s="178">
        <f t="shared" si="26"/>
        <v>0</v>
      </c>
      <c r="Z174" s="178">
        <f t="shared" si="26"/>
        <v>0</v>
      </c>
      <c r="AA174" s="178">
        <f t="shared" si="26"/>
        <v>0</v>
      </c>
      <c r="AB174" s="178"/>
      <c r="AC174" s="116"/>
      <c r="AD174" s="6"/>
      <c r="AE174" s="116"/>
    </row>
    <row r="175" spans="1:31" ht="15.6" hidden="1" customHeight="1">
      <c r="A175" s="22"/>
      <c r="B175" s="201"/>
      <c r="C175" s="201"/>
      <c r="D175" s="201"/>
      <c r="E175" s="206" t="s">
        <v>80</v>
      </c>
      <c r="F175" s="22"/>
      <c r="G175" s="22"/>
      <c r="H175" s="22"/>
      <c r="I175" s="35"/>
      <c r="J175" s="73"/>
      <c r="K175" s="100"/>
      <c r="L175" s="73"/>
      <c r="M175" s="30"/>
      <c r="N175" s="56">
        <f t="shared" si="25"/>
        <v>0</v>
      </c>
      <c r="O175" s="30"/>
      <c r="P175" s="197"/>
      <c r="Q175" s="31"/>
      <c r="R175" s="101"/>
      <c r="S175" s="31"/>
      <c r="T175" s="31"/>
      <c r="U175" s="31"/>
      <c r="V175" s="31"/>
      <c r="W175" s="31"/>
      <c r="X175" s="31"/>
      <c r="Y175" s="31"/>
      <c r="Z175" s="31"/>
      <c r="AA175" s="31"/>
      <c r="AB175" s="180"/>
      <c r="AC175" s="116"/>
      <c r="AD175" s="6"/>
      <c r="AE175" s="116"/>
    </row>
    <row r="176" spans="1:31" ht="19.95" hidden="1" customHeight="1">
      <c r="A176" s="22"/>
      <c r="B176" s="201"/>
      <c r="C176" s="201">
        <v>244</v>
      </c>
      <c r="D176" s="201"/>
      <c r="E176" s="204" t="s">
        <v>97</v>
      </c>
      <c r="F176" s="22"/>
      <c r="G176" s="22"/>
      <c r="H176" s="22"/>
      <c r="I176" s="35"/>
      <c r="J176" s="73"/>
      <c r="K176" s="100">
        <v>10100</v>
      </c>
      <c r="L176" s="73"/>
      <c r="M176" s="30"/>
      <c r="N176" s="56">
        <f t="shared" si="25"/>
        <v>10100</v>
      </c>
      <c r="O176" s="30"/>
      <c r="P176" s="197"/>
      <c r="Q176" s="31"/>
      <c r="R176" s="101"/>
      <c r="S176" s="31"/>
      <c r="T176" s="31"/>
      <c r="U176" s="31"/>
      <c r="V176" s="31"/>
      <c r="W176" s="31"/>
      <c r="X176" s="31"/>
      <c r="Y176" s="31"/>
      <c r="Z176" s="31"/>
      <c r="AA176" s="31"/>
      <c r="AB176" s="180"/>
      <c r="AC176" s="116"/>
      <c r="AD176" s="6"/>
      <c r="AE176" s="116"/>
    </row>
    <row r="177" spans="1:31" ht="23.4" hidden="1" customHeight="1">
      <c r="A177" s="22"/>
      <c r="B177" s="201"/>
      <c r="C177" s="201">
        <v>244</v>
      </c>
      <c r="D177" s="201"/>
      <c r="E177" s="204" t="s">
        <v>82</v>
      </c>
      <c r="F177" s="22"/>
      <c r="G177" s="22"/>
      <c r="H177" s="22"/>
      <c r="I177" s="35"/>
      <c r="J177" s="73"/>
      <c r="K177" s="100">
        <f>1803762.85+45400</f>
        <v>1849162.85</v>
      </c>
      <c r="L177" s="73"/>
      <c r="M177" s="30"/>
      <c r="N177" s="56">
        <f t="shared" si="25"/>
        <v>1849162.85</v>
      </c>
      <c r="O177" s="30"/>
      <c r="P177" s="197"/>
      <c r="Q177" s="3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80"/>
      <c r="AC177" s="116"/>
      <c r="AD177" s="6"/>
      <c r="AE177" s="116"/>
    </row>
    <row r="178" spans="1:31" ht="28.2" hidden="1" customHeight="1">
      <c r="A178" s="22"/>
      <c r="B178" s="201"/>
      <c r="C178" s="201">
        <v>244</v>
      </c>
      <c r="D178" s="201"/>
      <c r="E178" s="204" t="s">
        <v>230</v>
      </c>
      <c r="F178" s="22"/>
      <c r="G178" s="22"/>
      <c r="H178" s="22"/>
      <c r="I178" s="35"/>
      <c r="J178" s="73"/>
      <c r="K178" s="100">
        <v>100000</v>
      </c>
      <c r="L178" s="73"/>
      <c r="M178" s="30"/>
      <c r="N178" s="56">
        <f t="shared" si="25"/>
        <v>100000</v>
      </c>
      <c r="O178" s="30"/>
      <c r="P178" s="197"/>
      <c r="Q178" s="3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80"/>
      <c r="AC178" s="116"/>
      <c r="AD178" s="6"/>
      <c r="AE178" s="116"/>
    </row>
    <row r="179" spans="1:31" ht="21" hidden="1" customHeight="1">
      <c r="A179" s="22"/>
      <c r="B179" s="201"/>
      <c r="C179" s="201">
        <v>244</v>
      </c>
      <c r="D179" s="201"/>
      <c r="E179" s="204" t="s">
        <v>279</v>
      </c>
      <c r="F179" s="22"/>
      <c r="G179" s="22"/>
      <c r="H179" s="22"/>
      <c r="I179" s="35"/>
      <c r="J179" s="73"/>
      <c r="K179" s="100">
        <v>499174.41</v>
      </c>
      <c r="L179" s="73"/>
      <c r="M179" s="30"/>
      <c r="N179" s="56">
        <f t="shared" si="25"/>
        <v>499174.41</v>
      </c>
      <c r="O179" s="30"/>
      <c r="P179" s="197"/>
      <c r="Q179" s="3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80"/>
      <c r="AC179" s="116"/>
      <c r="AD179" s="6"/>
      <c r="AE179" s="116"/>
    </row>
    <row r="180" spans="1:31" ht="27" hidden="1" customHeight="1">
      <c r="A180" s="22"/>
      <c r="B180" s="201"/>
      <c r="C180" s="201">
        <v>244</v>
      </c>
      <c r="D180" s="201"/>
      <c r="E180" s="204" t="s">
        <v>214</v>
      </c>
      <c r="F180" s="22"/>
      <c r="G180" s="22"/>
      <c r="H180" s="22"/>
      <c r="I180" s="35"/>
      <c r="J180" s="73"/>
      <c r="K180" s="100"/>
      <c r="L180" s="73"/>
      <c r="M180" s="30"/>
      <c r="N180" s="56">
        <f t="shared" si="25"/>
        <v>0</v>
      </c>
      <c r="O180" s="30"/>
      <c r="P180" s="197"/>
      <c r="Q180" s="3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80"/>
      <c r="AC180" s="116"/>
      <c r="AD180" s="6"/>
      <c r="AE180" s="116"/>
    </row>
    <row r="181" spans="1:31" ht="31.2" hidden="1" customHeight="1">
      <c r="A181" s="22"/>
      <c r="B181" s="201"/>
      <c r="C181" s="201">
        <v>244</v>
      </c>
      <c r="D181" s="201"/>
      <c r="E181" s="204" t="s">
        <v>271</v>
      </c>
      <c r="F181" s="22"/>
      <c r="G181" s="22"/>
      <c r="H181" s="22"/>
      <c r="I181" s="35"/>
      <c r="J181" s="73"/>
      <c r="K181" s="100">
        <v>200000</v>
      </c>
      <c r="L181" s="73"/>
      <c r="M181" s="30"/>
      <c r="N181" s="56">
        <f t="shared" si="25"/>
        <v>200000</v>
      </c>
      <c r="O181" s="30"/>
      <c r="P181" s="197"/>
      <c r="Q181" s="3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80"/>
      <c r="AC181" s="116"/>
      <c r="AD181" s="6"/>
      <c r="AE181" s="116"/>
    </row>
    <row r="182" spans="1:31" ht="40.950000000000003" hidden="1" customHeight="1">
      <c r="A182" s="22"/>
      <c r="B182" s="201"/>
      <c r="C182" s="201">
        <v>244</v>
      </c>
      <c r="D182" s="201"/>
      <c r="E182" s="204" t="s">
        <v>98</v>
      </c>
      <c r="F182" s="22"/>
      <c r="G182" s="22"/>
      <c r="H182" s="22"/>
      <c r="I182" s="35"/>
      <c r="J182" s="73"/>
      <c r="K182" s="100">
        <v>100000</v>
      </c>
      <c r="L182" s="73"/>
      <c r="M182" s="30"/>
      <c r="N182" s="56">
        <f t="shared" si="25"/>
        <v>100000</v>
      </c>
      <c r="O182" s="30"/>
      <c r="P182" s="197"/>
      <c r="Q182" s="3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80"/>
      <c r="AC182" s="116"/>
      <c r="AD182" s="6"/>
      <c r="AE182" s="116"/>
    </row>
    <row r="183" spans="1:31" ht="24" hidden="1" customHeight="1">
      <c r="A183" s="22"/>
      <c r="B183" s="201"/>
      <c r="C183" s="201">
        <v>244</v>
      </c>
      <c r="D183" s="201"/>
      <c r="E183" s="204" t="s">
        <v>283</v>
      </c>
      <c r="F183" s="22"/>
      <c r="G183" s="22"/>
      <c r="H183" s="22"/>
      <c r="I183" s="35"/>
      <c r="J183" s="73"/>
      <c r="K183" s="100">
        <v>195762.74</v>
      </c>
      <c r="L183" s="73"/>
      <c r="M183" s="30"/>
      <c r="N183" s="56">
        <f t="shared" si="25"/>
        <v>195762.74</v>
      </c>
      <c r="O183" s="30"/>
      <c r="P183" s="197"/>
      <c r="Q183" s="3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80"/>
      <c r="AC183" s="116"/>
      <c r="AD183" s="6"/>
      <c r="AE183" s="116"/>
    </row>
    <row r="184" spans="1:31" ht="29.4" customHeight="1">
      <c r="A184" s="22"/>
      <c r="B184" s="207"/>
      <c r="C184" s="208">
        <v>244</v>
      </c>
      <c r="D184" s="209">
        <v>225.226</v>
      </c>
      <c r="E184" s="210" t="s">
        <v>252</v>
      </c>
      <c r="F184" s="211"/>
      <c r="G184" s="211"/>
      <c r="H184" s="211"/>
      <c r="I184" s="211"/>
      <c r="J184" s="211"/>
      <c r="K184" s="212">
        <f>K155+K156+K174</f>
        <v>1511436000</v>
      </c>
      <c r="L184" s="213"/>
      <c r="M184" s="214">
        <f>M155+M156+M173+M174</f>
        <v>271001435.29999995</v>
      </c>
      <c r="N184" s="212">
        <f t="shared" ref="N184:AA184" si="27">N155+N169+N174</f>
        <v>535417541.13</v>
      </c>
      <c r="O184" s="214">
        <f t="shared" si="27"/>
        <v>0</v>
      </c>
      <c r="P184" s="214">
        <f t="shared" si="27"/>
        <v>0</v>
      </c>
      <c r="Q184" s="180">
        <f t="shared" si="27"/>
        <v>0</v>
      </c>
      <c r="R184" s="180">
        <f t="shared" si="27"/>
        <v>0</v>
      </c>
      <c r="S184" s="180">
        <f t="shared" si="27"/>
        <v>0</v>
      </c>
      <c r="T184" s="180">
        <f t="shared" si="27"/>
        <v>0</v>
      </c>
      <c r="U184" s="180">
        <f t="shared" si="27"/>
        <v>0</v>
      </c>
      <c r="V184" s="180">
        <f t="shared" si="27"/>
        <v>0</v>
      </c>
      <c r="W184" s="180">
        <f t="shared" si="27"/>
        <v>0</v>
      </c>
      <c r="X184" s="180">
        <f t="shared" si="27"/>
        <v>0</v>
      </c>
      <c r="Y184" s="168">
        <f t="shared" si="27"/>
        <v>0</v>
      </c>
      <c r="Z184" s="168">
        <f t="shared" si="27"/>
        <v>0</v>
      </c>
      <c r="AA184" s="168">
        <f t="shared" si="27"/>
        <v>0</v>
      </c>
      <c r="AB184" s="180"/>
      <c r="AC184" s="116"/>
      <c r="AD184" s="6"/>
      <c r="AE184" s="116"/>
    </row>
    <row r="185" spans="1:31" ht="23.4" customHeight="1">
      <c r="A185" s="22"/>
      <c r="B185" s="148" t="s">
        <v>314</v>
      </c>
      <c r="C185" s="146">
        <v>243</v>
      </c>
      <c r="D185" s="149">
        <v>225</v>
      </c>
      <c r="E185" s="205" t="s">
        <v>140</v>
      </c>
      <c r="F185" s="22"/>
      <c r="G185" s="22"/>
      <c r="H185" s="22"/>
      <c r="I185" s="22"/>
      <c r="J185" s="22"/>
      <c r="K185" s="31">
        <v>319916600</v>
      </c>
      <c r="L185" s="102"/>
      <c r="M185" s="120"/>
      <c r="N185" s="31">
        <f t="shared" ref="N185:N194" si="28">K185-M185</f>
        <v>319916600</v>
      </c>
      <c r="O185" s="32"/>
      <c r="P185" s="29"/>
      <c r="Q185" s="31"/>
      <c r="R185" s="31"/>
      <c r="S185" s="101"/>
      <c r="T185" s="101"/>
      <c r="U185" s="84"/>
      <c r="V185" s="84"/>
      <c r="W185" s="84"/>
      <c r="X185" s="84"/>
      <c r="Y185" s="101"/>
      <c r="Z185" s="84"/>
      <c r="AA185" s="84"/>
      <c r="AB185" s="180">
        <f t="shared" ref="AB185:AB191" si="29">P185+Q185+R185+S185+T185+U185+V185+W185+X185+Y185+Z185+AA185-M185</f>
        <v>0</v>
      </c>
      <c r="AC185" s="116"/>
      <c r="AE185" s="116"/>
    </row>
    <row r="186" spans="1:31" ht="19.95" customHeight="1">
      <c r="A186" s="22"/>
      <c r="B186" s="148" t="s">
        <v>314</v>
      </c>
      <c r="C186" s="146">
        <v>243</v>
      </c>
      <c r="D186" s="149">
        <v>226</v>
      </c>
      <c r="E186" s="205" t="s">
        <v>305</v>
      </c>
      <c r="F186" s="22"/>
      <c r="G186" s="22"/>
      <c r="H186" s="22"/>
      <c r="I186" s="22"/>
      <c r="J186" s="22"/>
      <c r="K186" s="31">
        <v>3325000</v>
      </c>
      <c r="L186" s="102"/>
      <c r="M186" s="120"/>
      <c r="N186" s="31">
        <f t="shared" si="28"/>
        <v>3325000</v>
      </c>
      <c r="O186" s="32"/>
      <c r="P186" s="29"/>
      <c r="Q186" s="31"/>
      <c r="R186" s="31"/>
      <c r="S186" s="101"/>
      <c r="T186" s="101"/>
      <c r="U186" s="84"/>
      <c r="V186" s="84"/>
      <c r="W186" s="84"/>
      <c r="X186" s="84"/>
      <c r="Y186" s="101"/>
      <c r="Z186" s="84"/>
      <c r="AA186" s="84"/>
      <c r="AB186" s="180"/>
      <c r="AC186" s="116"/>
      <c r="AE186" s="116"/>
    </row>
    <row r="187" spans="1:31" ht="19.95" customHeight="1">
      <c r="A187" s="22"/>
      <c r="B187" s="148">
        <v>1310004300</v>
      </c>
      <c r="C187" s="146">
        <v>243</v>
      </c>
      <c r="D187" s="149">
        <v>225</v>
      </c>
      <c r="E187" s="205" t="s">
        <v>309</v>
      </c>
      <c r="F187" s="22"/>
      <c r="G187" s="22"/>
      <c r="H187" s="22"/>
      <c r="I187" s="22"/>
      <c r="J187" s="22"/>
      <c r="K187" s="31">
        <v>30424300</v>
      </c>
      <c r="L187" s="102"/>
      <c r="M187" s="120"/>
      <c r="N187" s="31">
        <f t="shared" si="28"/>
        <v>30424300</v>
      </c>
      <c r="O187" s="32"/>
      <c r="P187" s="29"/>
      <c r="Q187" s="31"/>
      <c r="R187" s="31"/>
      <c r="S187" s="101"/>
      <c r="T187" s="101"/>
      <c r="U187" s="84"/>
      <c r="V187" s="84"/>
      <c r="W187" s="84"/>
      <c r="X187" s="84"/>
      <c r="Y187" s="101"/>
      <c r="Z187" s="84"/>
      <c r="AA187" s="84"/>
      <c r="AB187" s="180"/>
      <c r="AC187" s="116"/>
      <c r="AE187" s="116"/>
    </row>
    <row r="188" spans="1:31" ht="31.2" customHeight="1">
      <c r="A188" s="22"/>
      <c r="B188" s="148" t="s">
        <v>314</v>
      </c>
      <c r="C188" s="146">
        <v>244</v>
      </c>
      <c r="D188" s="149" t="s">
        <v>243</v>
      </c>
      <c r="E188" s="205" t="s">
        <v>311</v>
      </c>
      <c r="F188" s="22"/>
      <c r="G188" s="22"/>
      <c r="H188" s="22"/>
      <c r="I188" s="22"/>
      <c r="J188" s="22"/>
      <c r="K188" s="31">
        <f>503377200-36575700</f>
        <v>466801500</v>
      </c>
      <c r="L188" s="102"/>
      <c r="M188" s="120"/>
      <c r="N188" s="31">
        <f t="shared" si="28"/>
        <v>466801500</v>
      </c>
      <c r="O188" s="32"/>
      <c r="P188" s="29"/>
      <c r="Q188" s="31"/>
      <c r="R188" s="31"/>
      <c r="S188" s="101"/>
      <c r="T188" s="101"/>
      <c r="U188" s="84"/>
      <c r="V188" s="84"/>
      <c r="W188" s="84"/>
      <c r="X188" s="84"/>
      <c r="Y188" s="101"/>
      <c r="Z188" s="84"/>
      <c r="AA188" s="84"/>
      <c r="AB188" s="180">
        <f>P188+Q188+R188+S188+T188+U188+V188+W188+X188+Y188+Z188+AA188-M188</f>
        <v>0</v>
      </c>
      <c r="AC188" s="116"/>
      <c r="AE188" s="116"/>
    </row>
    <row r="189" spans="1:31" ht="33" customHeight="1">
      <c r="A189" s="22"/>
      <c r="B189" s="148" t="s">
        <v>314</v>
      </c>
      <c r="C189" s="146">
        <v>244</v>
      </c>
      <c r="D189" s="149">
        <v>226</v>
      </c>
      <c r="E189" s="205" t="s">
        <v>306</v>
      </c>
      <c r="F189" s="22"/>
      <c r="G189" s="22"/>
      <c r="H189" s="22"/>
      <c r="I189" s="22"/>
      <c r="J189" s="22"/>
      <c r="K189" s="31">
        <f>6675000</f>
        <v>6675000</v>
      </c>
      <c r="L189" s="102"/>
      <c r="M189" s="120">
        <v>226486.95</v>
      </c>
      <c r="N189" s="31">
        <f t="shared" si="28"/>
        <v>6448513.0499999998</v>
      </c>
      <c r="O189" s="32"/>
      <c r="P189" s="31"/>
      <c r="Q189" s="31"/>
      <c r="R189" s="31"/>
      <c r="S189" s="101"/>
      <c r="T189" s="101"/>
      <c r="U189" s="84"/>
      <c r="V189" s="84"/>
      <c r="W189" s="84"/>
      <c r="X189" s="84"/>
      <c r="Y189" s="101"/>
      <c r="Z189" s="84"/>
      <c r="AA189" s="84"/>
      <c r="AB189" s="180">
        <f>P189+Q189+R189+S189+T189+U189+V189+W189+X189+Y189+Z189+AA189-M189</f>
        <v>-226486.95</v>
      </c>
      <c r="AC189" s="116"/>
      <c r="AE189" s="116"/>
    </row>
    <row r="190" spans="1:31" ht="19.2" customHeight="1">
      <c r="A190" s="22"/>
      <c r="B190" s="148">
        <v>1310004300</v>
      </c>
      <c r="C190" s="146">
        <v>244</v>
      </c>
      <c r="D190" s="149" t="s">
        <v>243</v>
      </c>
      <c r="E190" s="205" t="s">
        <v>310</v>
      </c>
      <c r="F190" s="22"/>
      <c r="G190" s="22"/>
      <c r="H190" s="22"/>
      <c r="I190" s="22"/>
      <c r="J190" s="22"/>
      <c r="K190" s="31">
        <v>36575700</v>
      </c>
      <c r="L190" s="102"/>
      <c r="M190" s="120"/>
      <c r="N190" s="31">
        <f t="shared" si="28"/>
        <v>36575700</v>
      </c>
      <c r="O190" s="32"/>
      <c r="P190" s="22"/>
      <c r="Q190" s="22"/>
      <c r="R190" s="31"/>
      <c r="S190" s="31"/>
      <c r="T190" s="31"/>
      <c r="U190" s="22"/>
      <c r="V190" s="22"/>
      <c r="W190" s="22"/>
      <c r="X190" s="22"/>
      <c r="Y190" s="31"/>
      <c r="Z190" s="22"/>
      <c r="AA190" s="22"/>
      <c r="AB190" s="180">
        <f t="shared" si="29"/>
        <v>0</v>
      </c>
      <c r="AC190" s="116"/>
      <c r="AE190" s="116"/>
    </row>
    <row r="191" spans="1:31" ht="22.2" customHeight="1">
      <c r="A191" s="22"/>
      <c r="B191" s="148" t="s">
        <v>316</v>
      </c>
      <c r="C191" s="146">
        <v>414</v>
      </c>
      <c r="D191" s="149">
        <v>226</v>
      </c>
      <c r="E191" s="205" t="s">
        <v>307</v>
      </c>
      <c r="F191" s="22"/>
      <c r="G191" s="22"/>
      <c r="H191" s="22"/>
      <c r="I191" s="22"/>
      <c r="J191" s="22"/>
      <c r="K191" s="31">
        <v>16758100</v>
      </c>
      <c r="L191" s="102"/>
      <c r="M191" s="120"/>
      <c r="N191" s="31">
        <f t="shared" si="28"/>
        <v>16758100</v>
      </c>
      <c r="O191" s="32"/>
      <c r="P191" s="22"/>
      <c r="Q191" s="31"/>
      <c r="R191" s="3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80">
        <f t="shared" si="29"/>
        <v>0</v>
      </c>
      <c r="AC191" s="116"/>
      <c r="AE191" s="116"/>
    </row>
    <row r="192" spans="1:31" ht="24" customHeight="1">
      <c r="A192" s="22"/>
      <c r="B192" s="148" t="s">
        <v>316</v>
      </c>
      <c r="C192" s="147" t="s">
        <v>253</v>
      </c>
      <c r="D192" s="149">
        <v>310</v>
      </c>
      <c r="E192" s="205" t="s">
        <v>284</v>
      </c>
      <c r="F192" s="22"/>
      <c r="G192" s="22"/>
      <c r="H192" s="22"/>
      <c r="I192" s="22"/>
      <c r="J192" s="22"/>
      <c r="K192" s="31">
        <f>418409000-219622000</f>
        <v>198787000</v>
      </c>
      <c r="L192" s="102"/>
      <c r="M192" s="32"/>
      <c r="N192" s="31">
        <f t="shared" si="28"/>
        <v>198787000</v>
      </c>
      <c r="O192" s="32"/>
      <c r="P192" s="31"/>
      <c r="Q192" s="31"/>
      <c r="R192" s="31"/>
      <c r="S192" s="101"/>
      <c r="T192" s="101"/>
      <c r="U192" s="84"/>
      <c r="V192" s="84"/>
      <c r="W192" s="84"/>
      <c r="X192" s="84"/>
      <c r="Y192" s="101"/>
      <c r="Z192" s="84"/>
      <c r="AA192" s="84"/>
      <c r="AB192" s="180">
        <f>P192+Q192+R192+S192+T192+U192+V192+W192+X192+Y192+Z192+AA192-M192</f>
        <v>0</v>
      </c>
      <c r="AE192" s="116"/>
    </row>
    <row r="193" spans="1:31" ht="20.399999999999999" customHeight="1">
      <c r="A193" s="70"/>
      <c r="B193" s="148">
        <v>1310018000</v>
      </c>
      <c r="C193" s="146">
        <v>414</v>
      </c>
      <c r="D193" s="149">
        <v>310</v>
      </c>
      <c r="E193" s="205" t="s">
        <v>315</v>
      </c>
      <c r="F193" s="22"/>
      <c r="G193" s="22"/>
      <c r="H193" s="22"/>
      <c r="I193" s="22"/>
      <c r="J193" s="22"/>
      <c r="K193" s="31">
        <v>219622000</v>
      </c>
      <c r="L193" s="102"/>
      <c r="M193" s="32"/>
      <c r="N193" s="31">
        <f t="shared" si="28"/>
        <v>219622000</v>
      </c>
      <c r="O193" s="32"/>
      <c r="P193" s="31"/>
      <c r="Q193" s="31"/>
      <c r="R193" s="31"/>
      <c r="S193" s="84"/>
      <c r="T193" s="84"/>
      <c r="U193" s="84"/>
      <c r="V193" s="84"/>
      <c r="W193" s="84"/>
      <c r="X193" s="101"/>
      <c r="Y193" s="101"/>
      <c r="Z193" s="84"/>
      <c r="AA193" s="84"/>
      <c r="AB193" s="180">
        <f>P193+Q193+R193+S193+T193+U193+V193+W193+X193+Y193+Z193+AA193-M193</f>
        <v>0</v>
      </c>
      <c r="AE193" s="116"/>
    </row>
    <row r="194" spans="1:31" ht="38.4" customHeight="1">
      <c r="A194" s="70"/>
      <c r="B194" s="148" t="s">
        <v>312</v>
      </c>
      <c r="C194" s="146">
        <v>414</v>
      </c>
      <c r="D194" s="149">
        <v>310</v>
      </c>
      <c r="E194" s="205" t="s">
        <v>308</v>
      </c>
      <c r="F194" s="22"/>
      <c r="G194" s="22"/>
      <c r="H194" s="22"/>
      <c r="I194" s="22"/>
      <c r="J194" s="22"/>
      <c r="K194" s="31">
        <v>533400400</v>
      </c>
      <c r="L194" s="102"/>
      <c r="M194" s="32"/>
      <c r="N194" s="31">
        <f t="shared" si="28"/>
        <v>533400400</v>
      </c>
      <c r="O194" s="32"/>
      <c r="P194" s="31"/>
      <c r="Q194" s="31"/>
      <c r="R194" s="31"/>
      <c r="S194" s="84"/>
      <c r="T194" s="84"/>
      <c r="U194" s="84"/>
      <c r="V194" s="84"/>
      <c r="W194" s="84"/>
      <c r="X194" s="101"/>
      <c r="Y194" s="101"/>
      <c r="Z194" s="84"/>
      <c r="AA194" s="84"/>
      <c r="AB194" s="180">
        <f>P194+Q194+R194+S194+T194+U194+V194+W194+X194+Y194+Z194+AA194-M194</f>
        <v>0</v>
      </c>
      <c r="AE194" s="116"/>
    </row>
    <row r="195" spans="1:31" ht="18" customHeight="1">
      <c r="A195" s="70"/>
      <c r="B195" s="63"/>
      <c r="C195" s="139"/>
      <c r="D195" s="139"/>
      <c r="E195" s="160" t="s">
        <v>105</v>
      </c>
      <c r="F195" s="153"/>
      <c r="G195" s="153"/>
      <c r="H195" s="153"/>
      <c r="I195" s="153"/>
      <c r="J195" s="153"/>
      <c r="K195" s="158">
        <f>K184+K185+K186+K187+K188+K189+K190+K191+K192+K193+K194</f>
        <v>3343721600</v>
      </c>
      <c r="L195" s="158">
        <f>L184+L185+L188+L189+L190+L191+L192+L193+L194</f>
        <v>0</v>
      </c>
      <c r="M195" s="158">
        <f>M184+M185+M188+M189+M190+M191+M192+M193+M194</f>
        <v>271227922.24999994</v>
      </c>
      <c r="N195" s="158">
        <f t="shared" ref="N195:AA195" si="30">N184+N185+N188+N189+N190+N191+N192+N193+N194</f>
        <v>2333727354.1800003</v>
      </c>
      <c r="O195" s="158">
        <f t="shared" si="30"/>
        <v>0</v>
      </c>
      <c r="P195" s="158">
        <f t="shared" si="30"/>
        <v>0</v>
      </c>
      <c r="Q195" s="158">
        <f t="shared" si="30"/>
        <v>0</v>
      </c>
      <c r="R195" s="158">
        <f t="shared" si="30"/>
        <v>0</v>
      </c>
      <c r="S195" s="158">
        <f t="shared" si="30"/>
        <v>0</v>
      </c>
      <c r="T195" s="158">
        <f t="shared" si="30"/>
        <v>0</v>
      </c>
      <c r="U195" s="158">
        <f t="shared" si="30"/>
        <v>0</v>
      </c>
      <c r="V195" s="158">
        <f t="shared" si="30"/>
        <v>0</v>
      </c>
      <c r="W195" s="158">
        <f t="shared" si="30"/>
        <v>0</v>
      </c>
      <c r="X195" s="158">
        <f t="shared" si="30"/>
        <v>0</v>
      </c>
      <c r="Y195" s="158">
        <f t="shared" si="30"/>
        <v>0</v>
      </c>
      <c r="Z195" s="158">
        <f t="shared" si="30"/>
        <v>0</v>
      </c>
      <c r="AA195" s="158">
        <f t="shared" si="30"/>
        <v>0</v>
      </c>
      <c r="AB195" s="158">
        <f>AB184+AB185+AB188+AB189+AB190+AB191+AB192+AB193+AB194</f>
        <v>-226486.95</v>
      </c>
      <c r="AE195" s="116"/>
    </row>
    <row r="196" spans="1:31" ht="18" customHeight="1">
      <c r="A196" s="70"/>
      <c r="B196" s="481" t="s">
        <v>39</v>
      </c>
      <c r="C196" s="482"/>
      <c r="D196" s="482"/>
      <c r="E196" s="483"/>
      <c r="F196" s="22"/>
      <c r="G196" s="22"/>
      <c r="H196" s="22"/>
      <c r="I196" s="22"/>
      <c r="J196" s="22"/>
      <c r="K196" s="157">
        <f>K153+K195</f>
        <v>3392956600</v>
      </c>
      <c r="L196" s="157">
        <f>L153+L195</f>
        <v>0</v>
      </c>
      <c r="M196" s="157">
        <f>M153+M195</f>
        <v>275691324.65999997</v>
      </c>
      <c r="N196" s="157">
        <f>N153+N195</f>
        <v>2378421851.7700005</v>
      </c>
      <c r="O196" s="157">
        <f>O153+O195</f>
        <v>38990.400000000001</v>
      </c>
      <c r="P196" s="157">
        <f>193002014-2000000</f>
        <v>191002014</v>
      </c>
      <c r="Q196" s="157">
        <v>89383734</v>
      </c>
      <c r="R196" s="157">
        <f t="shared" ref="R196:AA196" si="31">R153+R195</f>
        <v>0</v>
      </c>
      <c r="S196" s="157">
        <f t="shared" si="31"/>
        <v>0</v>
      </c>
      <c r="T196" s="157">
        <f t="shared" si="31"/>
        <v>0</v>
      </c>
      <c r="U196" s="157">
        <f t="shared" si="31"/>
        <v>0</v>
      </c>
      <c r="V196" s="157">
        <f t="shared" si="31"/>
        <v>0</v>
      </c>
      <c r="W196" s="159">
        <f t="shared" si="31"/>
        <v>0</v>
      </c>
      <c r="X196" s="157">
        <f t="shared" si="31"/>
        <v>0</v>
      </c>
      <c r="Y196" s="157">
        <f t="shared" si="31"/>
        <v>0</v>
      </c>
      <c r="Z196" s="157">
        <f t="shared" si="31"/>
        <v>0</v>
      </c>
      <c r="AA196" s="157">
        <f t="shared" si="31"/>
        <v>0</v>
      </c>
      <c r="AB196" s="180">
        <f>P196+Q196+R196+S196+T196+U196+V196+W196+X196+Y196+Z196+AA196-M196</f>
        <v>4694423.3400000334</v>
      </c>
      <c r="AE196" s="116"/>
    </row>
    <row r="197" spans="1:31" ht="22.95" hidden="1" customHeight="1">
      <c r="B197" s="103"/>
      <c r="C197" s="103"/>
      <c r="D197" s="103"/>
      <c r="E197" s="103"/>
      <c r="K197" s="114"/>
      <c r="L197" s="10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</row>
    <row r="198" spans="1:31" ht="13.95" hidden="1" customHeight="1">
      <c r="B198" s="103"/>
      <c r="C198" s="103"/>
      <c r="D198" s="103"/>
      <c r="E198" s="167"/>
      <c r="K198" s="114"/>
      <c r="L198" s="10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spans="1:31" ht="13.95" hidden="1" customHeight="1">
      <c r="B199" s="103"/>
      <c r="C199" s="103"/>
      <c r="D199" s="103"/>
      <c r="E199" s="103"/>
      <c r="L199" s="10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28"/>
    </row>
    <row r="200" spans="1:31" ht="25.2" customHeight="1">
      <c r="B200" s="103"/>
      <c r="C200" s="103"/>
      <c r="D200" s="103"/>
      <c r="E200" s="103"/>
      <c r="K200" s="114"/>
      <c r="L200" s="10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Y200" s="161"/>
      <c r="Z200" s="114"/>
      <c r="AA200" s="114"/>
      <c r="AB200" s="188"/>
    </row>
    <row r="201" spans="1:31" ht="13.5" customHeight="1">
      <c r="B201" s="103"/>
      <c r="C201" s="103"/>
      <c r="D201" s="103"/>
      <c r="E201" s="103"/>
      <c r="K201" s="7"/>
      <c r="L201" s="104"/>
      <c r="M201" s="105"/>
      <c r="O201" s="187" t="s">
        <v>244</v>
      </c>
      <c r="Q201" s="9"/>
      <c r="R201" s="194"/>
      <c r="S201" s="1"/>
      <c r="T201" s="1"/>
      <c r="U201" s="1"/>
      <c r="V201" s="1"/>
      <c r="W201" s="1"/>
      <c r="Z201" s="119">
        <f>P196+Q196+R196+S196+T196+U196+V196+W196+X196+Y196+Z196+AA196</f>
        <v>280385748</v>
      </c>
      <c r="AA201" s="194"/>
      <c r="AB201" s="220">
        <f>P196+Q196</f>
        <v>280385748</v>
      </c>
    </row>
    <row r="202" spans="1:31" ht="13.2" customHeight="1">
      <c r="E202" s="9"/>
      <c r="M202" s="7"/>
      <c r="O202" s="109" t="s">
        <v>257</v>
      </c>
      <c r="R202" s="107"/>
      <c r="S202" s="108"/>
      <c r="W202" s="108"/>
      <c r="X202" s="108"/>
      <c r="Y202" s="108"/>
      <c r="Z202" s="108"/>
      <c r="AA202" s="108"/>
    </row>
    <row r="203" spans="1:31" ht="13.2" customHeight="1">
      <c r="F203" s="191"/>
      <c r="G203" s="191"/>
      <c r="H203" s="191"/>
      <c r="I203" s="191"/>
      <c r="J203" s="191"/>
      <c r="K203" s="106"/>
      <c r="L203" s="191"/>
      <c r="M203" s="8"/>
      <c r="O203" s="171" t="s">
        <v>258</v>
      </c>
      <c r="Q203" s="112"/>
      <c r="R203" s="109"/>
      <c r="S203" s="189"/>
      <c r="T203" s="189"/>
      <c r="U203" s="189"/>
      <c r="V203" s="189"/>
      <c r="W203" s="189"/>
      <c r="Z203" s="172">
        <f>377443100+139640900</f>
        <v>517084000</v>
      </c>
      <c r="AA203" s="189"/>
    </row>
    <row r="204" spans="1:31" ht="12">
      <c r="A204" s="3" t="s">
        <v>139</v>
      </c>
      <c r="E204" s="110"/>
      <c r="F204" s="111"/>
      <c r="G204" s="111"/>
      <c r="H204" s="111"/>
      <c r="I204" s="111"/>
      <c r="J204" s="111"/>
      <c r="K204" s="111"/>
      <c r="M204" s="8"/>
      <c r="O204" s="171" t="s">
        <v>259</v>
      </c>
      <c r="S204" s="113"/>
      <c r="T204" s="113"/>
      <c r="U204" s="113"/>
      <c r="V204" s="113"/>
      <c r="W204" s="113"/>
      <c r="Z204" s="172">
        <f>Z201-Z203</f>
        <v>-236698252</v>
      </c>
      <c r="AA204" s="113"/>
    </row>
    <row r="205" spans="1:31" ht="13.2" hidden="1" customHeight="1">
      <c r="E205" s="111"/>
      <c r="F205" s="111"/>
      <c r="G205" s="111"/>
      <c r="H205" s="111"/>
      <c r="I205" s="111"/>
      <c r="J205" s="111"/>
      <c r="K205" s="111"/>
      <c r="M205" s="8"/>
      <c r="N205" s="10" t="s">
        <v>246</v>
      </c>
      <c r="O205" s="10" t="s">
        <v>256</v>
      </c>
      <c r="P205" s="10"/>
      <c r="Q205" s="10"/>
      <c r="S205" s="109"/>
      <c r="T205" s="484" t="s">
        <v>226</v>
      </c>
      <c r="U205" s="484"/>
      <c r="V205" s="484"/>
      <c r="W205" s="484"/>
      <c r="X205" s="484"/>
      <c r="Y205" s="484"/>
      <c r="Z205" s="484"/>
      <c r="AA205" s="109"/>
      <c r="AB205" s="151">
        <v>0.95</v>
      </c>
    </row>
    <row r="207" spans="1:31" ht="12">
      <c r="B207" s="3" t="s">
        <v>222</v>
      </c>
      <c r="O207" s="7" t="s">
        <v>245</v>
      </c>
      <c r="AB207" s="150">
        <f>M196/Z201*100</f>
        <v>98.325726834018667</v>
      </c>
    </row>
  </sheetData>
  <mergeCells count="20"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  <mergeCell ref="B196:E196"/>
    <mergeCell ref="T205:Z205"/>
    <mergeCell ref="J4:J5"/>
    <mergeCell ref="K4:K5"/>
    <mergeCell ref="L4:L5"/>
    <mergeCell ref="M4:M5"/>
    <mergeCell ref="N4:N5"/>
    <mergeCell ref="O4:O5"/>
  </mergeCells>
  <pageMargins left="0.35433070866141736" right="0.23622047244094491" top="0.31496062992125984" bottom="0.19685039370078741" header="0.23622047244094491" footer="0.23622047244094491"/>
  <pageSetup paperSize="9" scale="70" orientation="landscape" horizontalDpi="120" verticalDpi="144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3"/>
  <sheetViews>
    <sheetView tabSelected="1" view="pageBreakPreview" topLeftCell="D1" zoomScaleSheetLayoutView="100" workbookViewId="0">
      <selection activeCell="AF2" sqref="AF2"/>
    </sheetView>
  </sheetViews>
  <sheetFormatPr defaultColWidth="9.109375" defaultRowHeight="13.2"/>
  <cols>
    <col min="1" max="1" width="8" style="224" hidden="1" customWidth="1"/>
    <col min="2" max="2" width="12.33203125" style="224" hidden="1" customWidth="1"/>
    <col min="3" max="3" width="7.33203125" style="224" hidden="1" customWidth="1"/>
    <col min="4" max="4" width="10.44140625" style="224" customWidth="1"/>
    <col min="5" max="5" width="46.6640625" style="224" customWidth="1"/>
    <col min="6" max="7" width="10.44140625" style="224" hidden="1" customWidth="1"/>
    <col min="8" max="8" width="10.109375" style="224" hidden="1" customWidth="1"/>
    <col min="9" max="9" width="9.5546875" style="224" hidden="1" customWidth="1"/>
    <col min="10" max="10" width="0.109375" style="224" customWidth="1"/>
    <col min="11" max="11" width="18.5546875" style="224" hidden="1" customWidth="1"/>
    <col min="12" max="12" width="13.6640625" style="224" hidden="1" customWidth="1"/>
    <col min="13" max="13" width="34.88671875" style="375" customWidth="1"/>
    <col min="14" max="14" width="19.109375" style="375" hidden="1" customWidth="1"/>
    <col min="15" max="15" width="12.5546875" style="375" hidden="1" customWidth="1"/>
    <col min="16" max="16" width="0.109375" style="224" hidden="1" customWidth="1"/>
    <col min="17" max="17" width="14.33203125" style="224" hidden="1" customWidth="1"/>
    <col min="18" max="18" width="14.5546875" style="224" hidden="1" customWidth="1"/>
    <col min="19" max="19" width="17.88671875" style="224" hidden="1" customWidth="1"/>
    <col min="20" max="20" width="18" style="224" hidden="1" customWidth="1"/>
    <col min="21" max="21" width="18.33203125" style="224" hidden="1" customWidth="1"/>
    <col min="22" max="22" width="20.6640625" style="224" hidden="1" customWidth="1"/>
    <col min="23" max="23" width="20.88671875" style="224" hidden="1" customWidth="1"/>
    <col min="24" max="24" width="0.109375" style="224" hidden="1" customWidth="1"/>
    <col min="25" max="25" width="0.33203125" style="224" hidden="1" customWidth="1"/>
    <col min="26" max="26" width="21" style="224" hidden="1" customWidth="1"/>
    <col min="27" max="28" width="18.6640625" style="224" hidden="1" customWidth="1"/>
    <col min="29" max="29" width="11.88671875" style="224" customWidth="1"/>
    <col min="30" max="30" width="0.109375" style="224" customWidth="1"/>
    <col min="31" max="31" width="13" style="224" customWidth="1"/>
    <col min="32" max="32" width="10.109375" style="224" bestFit="1" customWidth="1"/>
    <col min="33" max="16384" width="9.109375" style="224"/>
  </cols>
  <sheetData>
    <row r="1" spans="1:28" s="221" customFormat="1" ht="51" customHeight="1">
      <c r="B1" s="494" t="s">
        <v>423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</row>
    <row r="2" spans="1:28" s="221" customFormat="1" ht="39.6" customHeight="1">
      <c r="B2" s="496" t="s">
        <v>418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</row>
    <row r="3" spans="1:28" s="221" customFormat="1" ht="16.2" hidden="1" customHeight="1">
      <c r="E3" s="222"/>
      <c r="M3" s="223"/>
      <c r="N3" s="223"/>
      <c r="O3" s="223"/>
      <c r="S3" s="221" t="s">
        <v>267</v>
      </c>
    </row>
    <row r="4" spans="1:28" ht="43.95" customHeight="1">
      <c r="A4" s="491" t="s">
        <v>142</v>
      </c>
      <c r="B4" s="479" t="s">
        <v>410</v>
      </c>
      <c r="C4" s="491" t="s">
        <v>215</v>
      </c>
      <c r="D4" s="479" t="s">
        <v>421</v>
      </c>
      <c r="E4" s="485" t="s">
        <v>422</v>
      </c>
      <c r="F4" s="472" t="s">
        <v>36</v>
      </c>
      <c r="G4" s="472" t="s">
        <v>37</v>
      </c>
      <c r="H4" s="407"/>
      <c r="I4" s="498" t="s">
        <v>33</v>
      </c>
      <c r="J4" s="491" t="s">
        <v>31</v>
      </c>
      <c r="K4" s="472" t="s">
        <v>289</v>
      </c>
      <c r="L4" s="491" t="s">
        <v>275</v>
      </c>
      <c r="M4" s="486" t="s">
        <v>420</v>
      </c>
      <c r="N4" s="488" t="s">
        <v>68</v>
      </c>
      <c r="O4" s="492" t="s">
        <v>415</v>
      </c>
      <c r="P4" s="476" t="s">
        <v>87</v>
      </c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8"/>
      <c r="AB4" s="479" t="s">
        <v>416</v>
      </c>
    </row>
    <row r="5" spans="1:28" ht="39" customHeight="1">
      <c r="A5" s="480"/>
      <c r="B5" s="480"/>
      <c r="C5" s="480"/>
      <c r="D5" s="480"/>
      <c r="E5" s="472"/>
      <c r="F5" s="472"/>
      <c r="G5" s="472"/>
      <c r="H5" s="406" t="s">
        <v>35</v>
      </c>
      <c r="I5" s="499"/>
      <c r="J5" s="480"/>
      <c r="K5" s="472"/>
      <c r="L5" s="480"/>
      <c r="M5" s="487"/>
      <c r="N5" s="487"/>
      <c r="O5" s="493"/>
      <c r="P5" s="406" t="s">
        <v>50</v>
      </c>
      <c r="Q5" s="406" t="s">
        <v>51</v>
      </c>
      <c r="R5" s="406" t="s">
        <v>52</v>
      </c>
      <c r="S5" s="406" t="s">
        <v>48</v>
      </c>
      <c r="T5" s="406" t="s">
        <v>54</v>
      </c>
      <c r="U5" s="406" t="s">
        <v>58</v>
      </c>
      <c r="V5" s="406" t="s">
        <v>60</v>
      </c>
      <c r="W5" s="406" t="s">
        <v>61</v>
      </c>
      <c r="X5" s="406" t="s">
        <v>62</v>
      </c>
      <c r="Y5" s="406" t="s">
        <v>65</v>
      </c>
      <c r="Z5" s="406" t="s">
        <v>66</v>
      </c>
      <c r="AA5" s="406" t="s">
        <v>67</v>
      </c>
      <c r="AB5" s="480"/>
    </row>
    <row r="6" spans="1:28" s="231" customFormat="1" ht="13.2" customHeight="1">
      <c r="A6" s="225">
        <v>1</v>
      </c>
      <c r="B6" s="406">
        <v>1</v>
      </c>
      <c r="C6" s="406">
        <v>2</v>
      </c>
      <c r="D6" s="406">
        <v>1</v>
      </c>
      <c r="E6" s="406">
        <v>2</v>
      </c>
      <c r="F6" s="225">
        <v>3</v>
      </c>
      <c r="G6" s="225"/>
      <c r="H6" s="225"/>
      <c r="I6" s="226"/>
      <c r="J6" s="227">
        <v>8</v>
      </c>
      <c r="K6" s="228">
        <v>5</v>
      </c>
      <c r="L6" s="228">
        <v>6</v>
      </c>
      <c r="M6" s="229">
        <v>3</v>
      </c>
      <c r="N6" s="229">
        <v>7</v>
      </c>
      <c r="O6" s="229">
        <v>8</v>
      </c>
      <c r="P6" s="230">
        <v>9</v>
      </c>
      <c r="Q6" s="230">
        <v>10</v>
      </c>
      <c r="R6" s="230">
        <v>9</v>
      </c>
      <c r="S6" s="230">
        <v>10</v>
      </c>
      <c r="T6" s="230">
        <v>9</v>
      </c>
      <c r="U6" s="230">
        <v>10</v>
      </c>
      <c r="V6" s="230">
        <v>9</v>
      </c>
      <c r="W6" s="230">
        <v>9</v>
      </c>
      <c r="X6" s="230">
        <v>9</v>
      </c>
      <c r="Y6" s="230">
        <v>9</v>
      </c>
      <c r="Z6" s="230">
        <v>10</v>
      </c>
      <c r="AA6" s="230">
        <v>11</v>
      </c>
      <c r="AB6" s="230">
        <v>11</v>
      </c>
    </row>
    <row r="7" spans="1:28" s="231" customFormat="1" ht="26.4" hidden="1" customHeight="1">
      <c r="A7" s="225"/>
      <c r="B7" s="232"/>
      <c r="C7" s="232"/>
      <c r="D7" s="233">
        <v>210</v>
      </c>
      <c r="E7" s="234" t="s">
        <v>141</v>
      </c>
      <c r="F7" s="235">
        <f>SUM(F8:F11)</f>
        <v>16238</v>
      </c>
      <c r="G7" s="235">
        <f>SUM(G8:G11)</f>
        <v>16086</v>
      </c>
      <c r="H7" s="235">
        <f>SUM(H8:H11)</f>
        <v>14538.3</v>
      </c>
      <c r="I7" s="236"/>
      <c r="J7" s="237">
        <f t="shared" ref="J7:L7" si="0">SUM(J8:J11)</f>
        <v>18528.036799999998</v>
      </c>
      <c r="K7" s="238">
        <f>SUM(K8:K11)</f>
        <v>34157624</v>
      </c>
      <c r="L7" s="239">
        <f t="shared" si="0"/>
        <v>0</v>
      </c>
      <c r="M7" s="238">
        <f>SUM(M8:M11)</f>
        <v>32352770.109999999</v>
      </c>
      <c r="N7" s="238">
        <f>SUM(N8:N11)</f>
        <v>1804853.8899999992</v>
      </c>
      <c r="O7" s="238">
        <f>SUM(O8:O11)</f>
        <v>2010</v>
      </c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</row>
    <row r="8" spans="1:28" ht="18" customHeight="1">
      <c r="A8" s="240"/>
      <c r="B8" s="241"/>
      <c r="C8" s="242">
        <v>111</v>
      </c>
      <c r="D8" s="243">
        <v>211</v>
      </c>
      <c r="E8" s="244" t="s">
        <v>14</v>
      </c>
      <c r="F8" s="245">
        <v>12772</v>
      </c>
      <c r="G8" s="245">
        <v>12739</v>
      </c>
      <c r="H8" s="245">
        <v>11572.8</v>
      </c>
      <c r="I8" s="246"/>
      <c r="J8" s="247">
        <v>14586.4</v>
      </c>
      <c r="K8" s="248">
        <v>25340800</v>
      </c>
      <c r="L8" s="249"/>
      <c r="M8" s="453">
        <v>23933005.940000001</v>
      </c>
      <c r="N8" s="251">
        <f>(K8-M8)</f>
        <v>1407794.0599999987</v>
      </c>
      <c r="O8" s="252"/>
      <c r="P8" s="253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</row>
    <row r="9" spans="1:28" ht="20.399999999999999" hidden="1" customHeight="1">
      <c r="A9" s="240"/>
      <c r="B9" s="242"/>
      <c r="C9" s="242"/>
      <c r="D9" s="243">
        <v>211</v>
      </c>
      <c r="E9" s="244" t="s">
        <v>47</v>
      </c>
      <c r="F9" s="245"/>
      <c r="G9" s="245"/>
      <c r="H9" s="245"/>
      <c r="I9" s="246"/>
      <c r="J9" s="247"/>
      <c r="K9" s="248"/>
      <c r="L9" s="249"/>
      <c r="M9" s="453"/>
      <c r="N9" s="255"/>
      <c r="O9" s="252"/>
      <c r="P9" s="255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</row>
    <row r="10" spans="1:28" ht="45" customHeight="1">
      <c r="A10" s="256"/>
      <c r="B10" s="232"/>
      <c r="C10" s="232">
        <v>112</v>
      </c>
      <c r="D10" s="243">
        <v>212</v>
      </c>
      <c r="E10" s="244" t="s">
        <v>290</v>
      </c>
      <c r="F10" s="257">
        <v>120</v>
      </c>
      <c r="G10" s="257">
        <v>101</v>
      </c>
      <c r="H10" s="257">
        <v>101</v>
      </c>
      <c r="I10" s="258"/>
      <c r="J10" s="247">
        <f>F10*1</f>
        <v>120</v>
      </c>
      <c r="K10" s="248">
        <v>1174000</v>
      </c>
      <c r="L10" s="249"/>
      <c r="M10" s="454">
        <v>954512.9</v>
      </c>
      <c r="N10" s="251">
        <f>(K10-M10)</f>
        <v>219487.09999999998</v>
      </c>
      <c r="O10" s="259">
        <v>2010</v>
      </c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</row>
    <row r="11" spans="1:28" ht="17.399999999999999" customHeight="1">
      <c r="A11" s="254"/>
      <c r="B11" s="243"/>
      <c r="C11" s="243">
        <v>119</v>
      </c>
      <c r="D11" s="260">
        <v>213</v>
      </c>
      <c r="E11" s="261" t="s">
        <v>112</v>
      </c>
      <c r="F11" s="262">
        <v>3346</v>
      </c>
      <c r="G11" s="262">
        <v>3246</v>
      </c>
      <c r="H11" s="262">
        <v>2864.5</v>
      </c>
      <c r="I11" s="246"/>
      <c r="J11" s="263">
        <f>J8*26.2/100</f>
        <v>3821.6367999999998</v>
      </c>
      <c r="K11" s="248">
        <v>7642824</v>
      </c>
      <c r="L11" s="264"/>
      <c r="M11" s="453">
        <f>7455175.27+10076</f>
        <v>7465251.2699999996</v>
      </c>
      <c r="N11" s="251">
        <f>(K11-M11)</f>
        <v>177572.73000000045</v>
      </c>
      <c r="O11" s="259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</row>
    <row r="12" spans="1:28" ht="17.399999999999999" hidden="1" customHeight="1">
      <c r="A12" s="254"/>
      <c r="B12" s="243"/>
      <c r="C12" s="243"/>
      <c r="D12" s="265">
        <v>220</v>
      </c>
      <c r="E12" s="266" t="s">
        <v>15</v>
      </c>
      <c r="F12" s="267">
        <f>F13+F22+F29+F33+F36+F67</f>
        <v>2406.8000000000002</v>
      </c>
      <c r="G12" s="267">
        <f>G13+G22+G29+G33+G36+G67</f>
        <v>2196.3000000000002</v>
      </c>
      <c r="H12" s="267">
        <f>H13+H22+H29+H33+H36+H67</f>
        <v>1809.5700000000002</v>
      </c>
      <c r="I12" s="268"/>
      <c r="J12" s="269">
        <f t="shared" ref="J12:O12" si="1">J13+J22+J29+J33+J36+J67</f>
        <v>2513.4</v>
      </c>
      <c r="K12" s="270">
        <f t="shared" si="1"/>
        <v>7637500</v>
      </c>
      <c r="L12" s="271">
        <f t="shared" si="1"/>
        <v>0</v>
      </c>
      <c r="M12" s="455">
        <f t="shared" si="1"/>
        <v>5400327.6699999999</v>
      </c>
      <c r="N12" s="273">
        <f t="shared" si="1"/>
        <v>2213462.33</v>
      </c>
      <c r="O12" s="272">
        <f t="shared" si="1"/>
        <v>0</v>
      </c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</row>
    <row r="13" spans="1:28" ht="24" customHeight="1">
      <c r="A13" s="254"/>
      <c r="B13" s="243"/>
      <c r="C13" s="243">
        <v>244</v>
      </c>
      <c r="D13" s="260">
        <v>221</v>
      </c>
      <c r="E13" s="261" t="s">
        <v>4</v>
      </c>
      <c r="F13" s="262">
        <f>F14+F15+F16</f>
        <v>587</v>
      </c>
      <c r="G13" s="262">
        <f>G14+G15+G16</f>
        <v>552</v>
      </c>
      <c r="H13" s="262">
        <f>H14+H15+H16</f>
        <v>424.7</v>
      </c>
      <c r="I13" s="409"/>
      <c r="J13" s="410">
        <f>J14+J15+J16</f>
        <v>587</v>
      </c>
      <c r="K13" s="411">
        <f>SUM(K14:K21)</f>
        <v>628000</v>
      </c>
      <c r="L13" s="412">
        <f>SUM(L14:L20)</f>
        <v>0</v>
      </c>
      <c r="M13" s="465">
        <f>SUM(M14:M21)</f>
        <v>506362.35</v>
      </c>
      <c r="N13" s="275">
        <f>SUM(N14:N21)</f>
        <v>121637.65000000001</v>
      </c>
      <c r="O13" s="275">
        <f>SUM(O14:O21)</f>
        <v>0</v>
      </c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</row>
    <row r="14" spans="1:28" ht="30.6" hidden="1" customHeight="1">
      <c r="A14" s="254">
        <v>1</v>
      </c>
      <c r="B14" s="278" t="s">
        <v>330</v>
      </c>
      <c r="C14" s="260">
        <v>244</v>
      </c>
      <c r="D14" s="278"/>
      <c r="E14" s="279" t="s">
        <v>44</v>
      </c>
      <c r="F14" s="254">
        <v>4.5999999999999996</v>
      </c>
      <c r="G14" s="254">
        <v>4.5</v>
      </c>
      <c r="H14" s="254">
        <v>2.4</v>
      </c>
      <c r="I14" s="258"/>
      <c r="J14" s="247">
        <f>F14*1</f>
        <v>4.5999999999999996</v>
      </c>
      <c r="K14" s="413">
        <v>166000</v>
      </c>
      <c r="L14" s="249"/>
      <c r="M14" s="454">
        <v>119800</v>
      </c>
      <c r="N14" s="280">
        <f t="shared" ref="N14:N21" si="2">(K14-M14)</f>
        <v>46200</v>
      </c>
      <c r="O14" s="259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</row>
    <row r="15" spans="1:28" ht="22.2" hidden="1" customHeight="1">
      <c r="A15" s="254">
        <v>2</v>
      </c>
      <c r="B15" s="281" t="s">
        <v>331</v>
      </c>
      <c r="C15" s="281">
        <v>244</v>
      </c>
      <c r="D15" s="281"/>
      <c r="E15" s="279" t="s">
        <v>74</v>
      </c>
      <c r="F15" s="254">
        <v>1.4</v>
      </c>
      <c r="G15" s="254">
        <v>1.5</v>
      </c>
      <c r="H15" s="254">
        <v>1.5</v>
      </c>
      <c r="I15" s="258"/>
      <c r="J15" s="247">
        <f>F15*1</f>
        <v>1.4</v>
      </c>
      <c r="K15" s="413">
        <v>2000</v>
      </c>
      <c r="L15" s="282"/>
      <c r="M15" s="454">
        <v>206</v>
      </c>
      <c r="N15" s="280">
        <f t="shared" si="2"/>
        <v>1794</v>
      </c>
      <c r="O15" s="259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</row>
    <row r="16" spans="1:28" ht="25.95" hidden="1" customHeight="1">
      <c r="A16" s="254">
        <v>3</v>
      </c>
      <c r="B16" s="278" t="s">
        <v>332</v>
      </c>
      <c r="C16" s="278">
        <v>244</v>
      </c>
      <c r="D16" s="278"/>
      <c r="E16" s="279" t="s">
        <v>89</v>
      </c>
      <c r="F16" s="257">
        <v>581</v>
      </c>
      <c r="G16" s="257">
        <v>546</v>
      </c>
      <c r="H16" s="257">
        <v>420.8</v>
      </c>
      <c r="I16" s="258"/>
      <c r="J16" s="247">
        <f>F16*1</f>
        <v>581</v>
      </c>
      <c r="K16" s="413">
        <v>252300</v>
      </c>
      <c r="L16" s="282"/>
      <c r="M16" s="454">
        <v>221888.83</v>
      </c>
      <c r="N16" s="283">
        <f t="shared" si="2"/>
        <v>30411.170000000013</v>
      </c>
      <c r="O16" s="259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</row>
    <row r="17" spans="1:28" ht="17.399999999999999" hidden="1" customHeight="1">
      <c r="A17" s="254">
        <v>4</v>
      </c>
      <c r="B17" s="278" t="s">
        <v>332</v>
      </c>
      <c r="C17" s="278">
        <v>244</v>
      </c>
      <c r="D17" s="278"/>
      <c r="E17" s="279" t="s">
        <v>90</v>
      </c>
      <c r="F17" s="284"/>
      <c r="G17" s="284"/>
      <c r="H17" s="284"/>
      <c r="I17" s="285"/>
      <c r="J17" s="247"/>
      <c r="K17" s="413">
        <v>0</v>
      </c>
      <c r="L17" s="282"/>
      <c r="M17" s="454"/>
      <c r="N17" s="283">
        <f t="shared" si="2"/>
        <v>0</v>
      </c>
      <c r="O17" s="259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</row>
    <row r="18" spans="1:28" ht="17.399999999999999" hidden="1" customHeight="1">
      <c r="A18" s="254">
        <v>5</v>
      </c>
      <c r="B18" s="278" t="s">
        <v>333</v>
      </c>
      <c r="C18" s="286">
        <v>244</v>
      </c>
      <c r="D18" s="286"/>
      <c r="E18" s="287" t="s">
        <v>233</v>
      </c>
      <c r="F18" s="284"/>
      <c r="G18" s="284"/>
      <c r="H18" s="284"/>
      <c r="I18" s="285"/>
      <c r="J18" s="247"/>
      <c r="K18" s="413">
        <v>134200</v>
      </c>
      <c r="L18" s="282"/>
      <c r="M18" s="454">
        <v>113237.52</v>
      </c>
      <c r="N18" s="251">
        <f t="shared" si="2"/>
        <v>20962.479999999996</v>
      </c>
      <c r="O18" s="259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</row>
    <row r="19" spans="1:28" ht="10.199999999999999" hidden="1" customHeight="1">
      <c r="A19" s="254">
        <v>5</v>
      </c>
      <c r="B19" s="278" t="s">
        <v>144</v>
      </c>
      <c r="C19" s="278">
        <v>244</v>
      </c>
      <c r="D19" s="278"/>
      <c r="E19" s="288" t="s">
        <v>46</v>
      </c>
      <c r="F19" s="284"/>
      <c r="G19" s="284"/>
      <c r="H19" s="284"/>
      <c r="I19" s="285"/>
      <c r="J19" s="247"/>
      <c r="K19" s="413">
        <v>0</v>
      </c>
      <c r="L19" s="282"/>
      <c r="M19" s="454"/>
      <c r="N19" s="251">
        <f t="shared" si="2"/>
        <v>0</v>
      </c>
      <c r="O19" s="259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</row>
    <row r="20" spans="1:28" ht="19.95" hidden="1" customHeight="1">
      <c r="A20" s="254">
        <v>6</v>
      </c>
      <c r="B20" s="278" t="s">
        <v>334</v>
      </c>
      <c r="C20" s="278">
        <v>244</v>
      </c>
      <c r="D20" s="278"/>
      <c r="E20" s="279" t="s">
        <v>40</v>
      </c>
      <c r="F20" s="284"/>
      <c r="G20" s="284"/>
      <c r="H20" s="284"/>
      <c r="I20" s="285"/>
      <c r="J20" s="247"/>
      <c r="K20" s="413">
        <v>73500</v>
      </c>
      <c r="L20" s="282"/>
      <c r="M20" s="454">
        <v>51230</v>
      </c>
      <c r="N20" s="280">
        <f t="shared" si="2"/>
        <v>22270</v>
      </c>
      <c r="O20" s="259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</row>
    <row r="21" spans="1:28" ht="12" hidden="1" customHeight="1">
      <c r="A21" s="254">
        <v>185</v>
      </c>
      <c r="B21" s="278">
        <v>6420090</v>
      </c>
      <c r="C21" s="278"/>
      <c r="D21" s="278"/>
      <c r="E21" s="279" t="s">
        <v>53</v>
      </c>
      <c r="F21" s="284"/>
      <c r="G21" s="284"/>
      <c r="H21" s="284"/>
      <c r="I21" s="285"/>
      <c r="J21" s="247"/>
      <c r="K21" s="249"/>
      <c r="L21" s="282"/>
      <c r="M21" s="454"/>
      <c r="N21" s="251">
        <f t="shared" si="2"/>
        <v>0</v>
      </c>
      <c r="O21" s="259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</row>
    <row r="22" spans="1:28" ht="21" hidden="1" customHeight="1">
      <c r="A22" s="254"/>
      <c r="B22" s="274"/>
      <c r="C22" s="274"/>
      <c r="D22" s="260">
        <v>222</v>
      </c>
      <c r="E22" s="279" t="s">
        <v>3</v>
      </c>
      <c r="F22" s="402">
        <f>SUM(F23:F28)</f>
        <v>310</v>
      </c>
      <c r="G22" s="402">
        <f>SUM(G23:G28)</f>
        <v>310</v>
      </c>
      <c r="H22" s="402">
        <f>SUM(H23:H28)</f>
        <v>271.3</v>
      </c>
      <c r="I22" s="414"/>
      <c r="J22" s="410">
        <f t="shared" ref="J22:O22" si="3">SUM(J23:J28)</f>
        <v>310</v>
      </c>
      <c r="K22" s="415">
        <f t="shared" si="3"/>
        <v>3400</v>
      </c>
      <c r="L22" s="412">
        <f t="shared" si="3"/>
        <v>0</v>
      </c>
      <c r="M22" s="465">
        <f t="shared" si="3"/>
        <v>0</v>
      </c>
      <c r="N22" s="275">
        <f>SUM(N23:N28)</f>
        <v>3400</v>
      </c>
      <c r="O22" s="277">
        <f t="shared" si="3"/>
        <v>0</v>
      </c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</row>
    <row r="23" spans="1:28" ht="25.95" hidden="1" customHeight="1">
      <c r="A23" s="254">
        <v>7</v>
      </c>
      <c r="B23" s="278" t="s">
        <v>146</v>
      </c>
      <c r="C23" s="278"/>
      <c r="D23" s="278"/>
      <c r="E23" s="279" t="s">
        <v>41</v>
      </c>
      <c r="F23" s="254"/>
      <c r="G23" s="254"/>
      <c r="H23" s="254"/>
      <c r="I23" s="258"/>
      <c r="J23" s="247">
        <f>F23*1</f>
        <v>0</v>
      </c>
      <c r="K23" s="249">
        <f>1200-1200</f>
        <v>0</v>
      </c>
      <c r="L23" s="282"/>
      <c r="M23" s="454"/>
      <c r="N23" s="251">
        <f t="shared" ref="N23:N28" si="4">(K23-M23)</f>
        <v>0</v>
      </c>
      <c r="O23" s="259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</row>
    <row r="24" spans="1:28" ht="19.95" hidden="1" customHeight="1">
      <c r="A24" s="254">
        <v>8</v>
      </c>
      <c r="B24" s="278" t="s">
        <v>147</v>
      </c>
      <c r="C24" s="278"/>
      <c r="D24" s="278"/>
      <c r="E24" s="279" t="s">
        <v>111</v>
      </c>
      <c r="F24" s="254"/>
      <c r="G24" s="254"/>
      <c r="H24" s="254"/>
      <c r="I24" s="258"/>
      <c r="J24" s="247"/>
      <c r="K24" s="413">
        <v>0</v>
      </c>
      <c r="L24" s="282"/>
      <c r="M24" s="454"/>
      <c r="N24" s="251">
        <f t="shared" si="4"/>
        <v>0</v>
      </c>
      <c r="O24" s="259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</row>
    <row r="25" spans="1:28" ht="19.95" hidden="1" customHeight="1">
      <c r="A25" s="254">
        <v>9</v>
      </c>
      <c r="B25" s="278" t="s">
        <v>148</v>
      </c>
      <c r="C25" s="278"/>
      <c r="D25" s="278"/>
      <c r="E25" s="279" t="s">
        <v>129</v>
      </c>
      <c r="F25" s="254"/>
      <c r="G25" s="254"/>
      <c r="H25" s="254"/>
      <c r="I25" s="258"/>
      <c r="J25" s="247"/>
      <c r="K25" s="413">
        <v>0</v>
      </c>
      <c r="L25" s="282"/>
      <c r="M25" s="454"/>
      <c r="N25" s="251">
        <f t="shared" si="4"/>
        <v>0</v>
      </c>
      <c r="O25" s="259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</row>
    <row r="26" spans="1:28" ht="19.95" hidden="1" customHeight="1">
      <c r="A26" s="254">
        <v>10</v>
      </c>
      <c r="B26" s="278" t="s">
        <v>335</v>
      </c>
      <c r="C26" s="278">
        <v>244</v>
      </c>
      <c r="D26" s="278"/>
      <c r="E26" s="279" t="s">
        <v>136</v>
      </c>
      <c r="F26" s="254"/>
      <c r="G26" s="254"/>
      <c r="H26" s="254"/>
      <c r="I26" s="258"/>
      <c r="J26" s="247"/>
      <c r="K26" s="413">
        <v>200</v>
      </c>
      <c r="L26" s="282"/>
      <c r="M26" s="454"/>
      <c r="N26" s="251">
        <f t="shared" si="4"/>
        <v>200</v>
      </c>
      <c r="O26" s="259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</row>
    <row r="27" spans="1:28" ht="17.399999999999999" hidden="1" customHeight="1">
      <c r="A27" s="254">
        <v>11</v>
      </c>
      <c r="B27" s="278" t="s">
        <v>336</v>
      </c>
      <c r="C27" s="278">
        <v>244</v>
      </c>
      <c r="D27" s="278"/>
      <c r="E27" s="279" t="s">
        <v>138</v>
      </c>
      <c r="F27" s="257">
        <v>300</v>
      </c>
      <c r="G27" s="257">
        <v>297</v>
      </c>
      <c r="H27" s="257">
        <v>259.7</v>
      </c>
      <c r="I27" s="258"/>
      <c r="J27" s="247">
        <f>F27*1</f>
        <v>300</v>
      </c>
      <c r="K27" s="413">
        <v>3200</v>
      </c>
      <c r="L27" s="282"/>
      <c r="M27" s="454"/>
      <c r="N27" s="251">
        <f t="shared" si="4"/>
        <v>3200</v>
      </c>
      <c r="O27" s="259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</row>
    <row r="28" spans="1:28" ht="28.95" hidden="1" customHeight="1">
      <c r="A28" s="254">
        <v>180</v>
      </c>
      <c r="B28" s="278">
        <v>6011000</v>
      </c>
      <c r="C28" s="278"/>
      <c r="D28" s="278"/>
      <c r="E28" s="279" t="s">
        <v>30</v>
      </c>
      <c r="F28" s="254">
        <v>10</v>
      </c>
      <c r="G28" s="254">
        <v>13</v>
      </c>
      <c r="H28" s="254">
        <v>11.6</v>
      </c>
      <c r="I28" s="258"/>
      <c r="J28" s="247">
        <f>F28*1</f>
        <v>10</v>
      </c>
      <c r="K28" s="413">
        <f>15000-15000</f>
        <v>0</v>
      </c>
      <c r="L28" s="282"/>
      <c r="M28" s="454"/>
      <c r="N28" s="251">
        <f t="shared" si="4"/>
        <v>0</v>
      </c>
      <c r="O28" s="259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</row>
    <row r="29" spans="1:28" ht="19.95" customHeight="1">
      <c r="A29" s="254"/>
      <c r="B29" s="274"/>
      <c r="C29" s="274"/>
      <c r="D29" s="260">
        <v>223</v>
      </c>
      <c r="E29" s="279" t="s">
        <v>16</v>
      </c>
      <c r="F29" s="402">
        <f>SUM(F30:F32)</f>
        <v>547</v>
      </c>
      <c r="G29" s="402">
        <f>SUM(G30:G32)</f>
        <v>419</v>
      </c>
      <c r="H29" s="402">
        <f>SUM(H30:H32)</f>
        <v>356.9</v>
      </c>
      <c r="I29" s="414"/>
      <c r="J29" s="410">
        <f t="shared" ref="J29:L29" si="5">SUM(J30:J32)</f>
        <v>588.4</v>
      </c>
      <c r="K29" s="411">
        <f t="shared" si="5"/>
        <v>1154000</v>
      </c>
      <c r="L29" s="412">
        <f t="shared" si="5"/>
        <v>0</v>
      </c>
      <c r="M29" s="465">
        <f>SUM(M30:M32)</f>
        <v>995778.32</v>
      </c>
      <c r="N29" s="275">
        <f>SUM(N30:N32)</f>
        <v>158221.68</v>
      </c>
      <c r="O29" s="277">
        <f>SUM(O30:O32)</f>
        <v>0</v>
      </c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</row>
    <row r="30" spans="1:28" ht="20.399999999999999" hidden="1" customHeight="1">
      <c r="A30" s="254">
        <v>12</v>
      </c>
      <c r="B30" s="290" t="s">
        <v>337</v>
      </c>
      <c r="C30" s="290">
        <v>244</v>
      </c>
      <c r="D30" s="290">
        <v>1001</v>
      </c>
      <c r="E30" s="279" t="s">
        <v>229</v>
      </c>
      <c r="F30" s="254">
        <v>279</v>
      </c>
      <c r="G30" s="254">
        <v>216</v>
      </c>
      <c r="H30" s="254">
        <v>173.1</v>
      </c>
      <c r="I30" s="258"/>
      <c r="J30" s="291">
        <v>306.89999999999998</v>
      </c>
      <c r="K30" s="416">
        <v>643700</v>
      </c>
      <c r="L30" s="282"/>
      <c r="M30" s="454">
        <v>528384.49</v>
      </c>
      <c r="N30" s="251">
        <f>(K30-M30)</f>
        <v>115315.51000000001</v>
      </c>
      <c r="O30" s="259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</row>
    <row r="31" spans="1:28" ht="21.6" hidden="1" customHeight="1">
      <c r="A31" s="254">
        <v>171</v>
      </c>
      <c r="B31" s="290" t="s">
        <v>338</v>
      </c>
      <c r="C31" s="290">
        <v>244</v>
      </c>
      <c r="D31" s="290">
        <v>1003</v>
      </c>
      <c r="E31" s="279" t="s">
        <v>291</v>
      </c>
      <c r="F31" s="254">
        <v>237.5</v>
      </c>
      <c r="G31" s="254">
        <v>187.5</v>
      </c>
      <c r="H31" s="254">
        <v>173.9</v>
      </c>
      <c r="I31" s="258"/>
      <c r="J31" s="291">
        <v>266</v>
      </c>
      <c r="K31" s="413">
        <v>475000</v>
      </c>
      <c r="L31" s="282"/>
      <c r="M31" s="454">
        <v>439553.5</v>
      </c>
      <c r="N31" s="251">
        <f>(K31-M31)</f>
        <v>35446.5</v>
      </c>
      <c r="O31" s="259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</row>
    <row r="32" spans="1:28" ht="21" hidden="1" customHeight="1">
      <c r="A32" s="254">
        <v>173</v>
      </c>
      <c r="B32" s="290" t="s">
        <v>339</v>
      </c>
      <c r="C32" s="290">
        <v>244</v>
      </c>
      <c r="D32" s="290">
        <v>1004</v>
      </c>
      <c r="E32" s="279" t="s">
        <v>292</v>
      </c>
      <c r="F32" s="254">
        <v>30.5</v>
      </c>
      <c r="G32" s="254">
        <v>15.5</v>
      </c>
      <c r="H32" s="254">
        <v>9.9</v>
      </c>
      <c r="I32" s="258"/>
      <c r="J32" s="247">
        <v>15.5</v>
      </c>
      <c r="K32" s="413">
        <v>35300</v>
      </c>
      <c r="L32" s="282"/>
      <c r="M32" s="454">
        <v>27840.33</v>
      </c>
      <c r="N32" s="251">
        <f>(K32-M32)</f>
        <v>7459.6699999999983</v>
      </c>
      <c r="O32" s="259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</row>
    <row r="33" spans="1:28" ht="15" customHeight="1">
      <c r="A33" s="254"/>
      <c r="B33" s="274"/>
      <c r="C33" s="274"/>
      <c r="D33" s="260">
        <v>224</v>
      </c>
      <c r="E33" s="279" t="s">
        <v>17</v>
      </c>
      <c r="F33" s="402">
        <f>SUM(F34:F35)</f>
        <v>0</v>
      </c>
      <c r="G33" s="402">
        <f>SUM(G34:G35)</f>
        <v>0</v>
      </c>
      <c r="H33" s="402">
        <f>SUM(H34:H35)</f>
        <v>0</v>
      </c>
      <c r="I33" s="414"/>
      <c r="J33" s="410">
        <f t="shared" ref="J33:L33" si="6">SUM(J34:J35)</f>
        <v>0</v>
      </c>
      <c r="K33" s="412">
        <f t="shared" si="6"/>
        <v>100</v>
      </c>
      <c r="L33" s="412">
        <f t="shared" si="6"/>
        <v>0</v>
      </c>
      <c r="M33" s="465">
        <f>SUM(M34:M35)</f>
        <v>25.23</v>
      </c>
      <c r="N33" s="275">
        <f>SUM(N34:N35)</f>
        <v>74.77</v>
      </c>
      <c r="O33" s="259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</row>
    <row r="34" spans="1:28" ht="19.2" hidden="1" customHeight="1">
      <c r="A34" s="254">
        <v>15</v>
      </c>
      <c r="B34" s="293" t="s">
        <v>340</v>
      </c>
      <c r="C34" s="293">
        <v>244</v>
      </c>
      <c r="D34" s="293"/>
      <c r="E34" s="279" t="s">
        <v>135</v>
      </c>
      <c r="F34" s="254"/>
      <c r="G34" s="254"/>
      <c r="H34" s="254"/>
      <c r="I34" s="246"/>
      <c r="J34" s="291"/>
      <c r="K34" s="294">
        <v>100</v>
      </c>
      <c r="L34" s="282"/>
      <c r="M34" s="454">
        <v>25.23</v>
      </c>
      <c r="N34" s="251">
        <f>(K34-M34)</f>
        <v>74.77</v>
      </c>
      <c r="O34" s="259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</row>
    <row r="35" spans="1:28" ht="19.95" hidden="1" customHeight="1">
      <c r="A35" s="254"/>
      <c r="B35" s="293"/>
      <c r="C35" s="293"/>
      <c r="D35" s="293"/>
      <c r="E35" s="279" t="s">
        <v>18</v>
      </c>
      <c r="F35" s="254"/>
      <c r="G35" s="254"/>
      <c r="H35" s="254"/>
      <c r="I35" s="246"/>
      <c r="J35" s="291"/>
      <c r="K35" s="294"/>
      <c r="L35" s="295"/>
      <c r="M35" s="454"/>
      <c r="N35" s="255"/>
      <c r="O35" s="259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</row>
    <row r="36" spans="1:28" ht="15.6" customHeight="1">
      <c r="A36" s="254"/>
      <c r="B36" s="274"/>
      <c r="C36" s="274"/>
      <c r="D36" s="260">
        <v>225</v>
      </c>
      <c r="E36" s="279" t="s">
        <v>294</v>
      </c>
      <c r="F36" s="402">
        <f>SUM(F49:F65)</f>
        <v>0</v>
      </c>
      <c r="G36" s="402">
        <f>SUM(G49:G65)</f>
        <v>0</v>
      </c>
      <c r="H36" s="402">
        <f>SUM(H49:H65)</f>
        <v>0</v>
      </c>
      <c r="I36" s="414"/>
      <c r="J36" s="410">
        <f>SUM(J49:J65)</f>
        <v>0</v>
      </c>
      <c r="K36" s="411">
        <f>SUM(K37:K66)</f>
        <v>2625700</v>
      </c>
      <c r="L36" s="411">
        <f>SUM(L37:L66)</f>
        <v>0</v>
      </c>
      <c r="M36" s="457">
        <f>SUM(M37:M66)</f>
        <v>2040445.07</v>
      </c>
      <c r="N36" s="275">
        <f>SUM(N37:N66)</f>
        <v>585254.93000000005</v>
      </c>
      <c r="O36" s="275">
        <f>SUM(O37:O66)</f>
        <v>0</v>
      </c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</row>
    <row r="37" spans="1:28" ht="29.4" hidden="1" customHeight="1">
      <c r="A37" s="254">
        <v>16</v>
      </c>
      <c r="B37" s="278" t="s">
        <v>341</v>
      </c>
      <c r="C37" s="278">
        <v>244</v>
      </c>
      <c r="D37" s="278"/>
      <c r="E37" s="296" t="s">
        <v>108</v>
      </c>
      <c r="F37" s="254"/>
      <c r="G37" s="254"/>
      <c r="H37" s="254"/>
      <c r="I37" s="258"/>
      <c r="J37" s="247"/>
      <c r="K37" s="413">
        <v>490900</v>
      </c>
      <c r="L37" s="282"/>
      <c r="M37" s="454">
        <v>281866.92</v>
      </c>
      <c r="N37" s="251">
        <f t="shared" ref="N37:N66" si="7">(K37-M37)</f>
        <v>209033.08000000002</v>
      </c>
      <c r="O37" s="259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</row>
    <row r="38" spans="1:28" ht="21.6" hidden="1" customHeight="1">
      <c r="A38" s="254">
        <v>16</v>
      </c>
      <c r="B38" s="278" t="s">
        <v>341</v>
      </c>
      <c r="C38" s="278">
        <v>244</v>
      </c>
      <c r="D38" s="278"/>
      <c r="E38" s="296" t="s">
        <v>107</v>
      </c>
      <c r="F38" s="254"/>
      <c r="G38" s="254"/>
      <c r="H38" s="254"/>
      <c r="I38" s="258"/>
      <c r="J38" s="247"/>
      <c r="K38" s="413">
        <v>40600</v>
      </c>
      <c r="L38" s="282"/>
      <c r="M38" s="454">
        <v>21270</v>
      </c>
      <c r="N38" s="251">
        <f t="shared" si="7"/>
        <v>19330</v>
      </c>
      <c r="O38" s="259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</row>
    <row r="39" spans="1:28" ht="21.6" hidden="1" customHeight="1">
      <c r="A39" s="254">
        <v>17</v>
      </c>
      <c r="B39" s="278" t="s">
        <v>342</v>
      </c>
      <c r="C39" s="278">
        <v>244</v>
      </c>
      <c r="D39" s="278"/>
      <c r="E39" s="296" t="s">
        <v>5</v>
      </c>
      <c r="F39" s="254">
        <v>42.6</v>
      </c>
      <c r="G39" s="254">
        <v>55.6</v>
      </c>
      <c r="H39" s="254">
        <v>38.4</v>
      </c>
      <c r="I39" s="258"/>
      <c r="J39" s="247">
        <f t="shared" ref="J39" si="8">F39*1</f>
        <v>42.6</v>
      </c>
      <c r="K39" s="413">
        <v>114700</v>
      </c>
      <c r="L39" s="282"/>
      <c r="M39" s="454">
        <v>58586.54</v>
      </c>
      <c r="N39" s="280">
        <f t="shared" si="7"/>
        <v>56113.46</v>
      </c>
      <c r="O39" s="259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</row>
    <row r="40" spans="1:28" ht="21.6" hidden="1" customHeight="1">
      <c r="A40" s="254"/>
      <c r="B40" s="278" t="s">
        <v>343</v>
      </c>
      <c r="C40" s="278">
        <v>244</v>
      </c>
      <c r="D40" s="278"/>
      <c r="E40" s="296" t="s">
        <v>296</v>
      </c>
      <c r="F40" s="254"/>
      <c r="G40" s="254"/>
      <c r="H40" s="254"/>
      <c r="I40" s="258"/>
      <c r="J40" s="247"/>
      <c r="K40" s="413">
        <v>72400</v>
      </c>
      <c r="L40" s="282"/>
      <c r="M40" s="454">
        <v>59955</v>
      </c>
      <c r="N40" s="280">
        <f t="shared" si="7"/>
        <v>12445</v>
      </c>
      <c r="O40" s="259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</row>
    <row r="41" spans="1:28" ht="43.95" hidden="1" customHeight="1">
      <c r="A41" s="279">
        <v>18</v>
      </c>
      <c r="B41" s="297" t="s">
        <v>344</v>
      </c>
      <c r="C41" s="297" t="s">
        <v>221</v>
      </c>
      <c r="D41" s="297"/>
      <c r="E41" s="296" t="s">
        <v>126</v>
      </c>
      <c r="F41" s="254">
        <v>60</v>
      </c>
      <c r="G41" s="254">
        <v>70</v>
      </c>
      <c r="H41" s="254">
        <v>55.9</v>
      </c>
      <c r="I41" s="258"/>
      <c r="J41" s="247">
        <f t="shared" ref="J41" si="9">F41*1</f>
        <v>60</v>
      </c>
      <c r="K41" s="413">
        <v>118200</v>
      </c>
      <c r="L41" s="298"/>
      <c r="M41" s="454">
        <v>114814</v>
      </c>
      <c r="N41" s="280">
        <f t="shared" si="7"/>
        <v>3386</v>
      </c>
      <c r="O41" s="259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</row>
    <row r="42" spans="1:28" ht="21" hidden="1" customHeight="1">
      <c r="A42" s="279">
        <v>19</v>
      </c>
      <c r="B42" s="297" t="s">
        <v>345</v>
      </c>
      <c r="C42" s="297" t="s">
        <v>221</v>
      </c>
      <c r="D42" s="297"/>
      <c r="E42" s="299" t="s">
        <v>99</v>
      </c>
      <c r="F42" s="254"/>
      <c r="G42" s="254"/>
      <c r="H42" s="254"/>
      <c r="I42" s="258"/>
      <c r="J42" s="247"/>
      <c r="K42" s="413">
        <v>3000</v>
      </c>
      <c r="L42" s="298"/>
      <c r="M42" s="454"/>
      <c r="N42" s="280">
        <f t="shared" si="7"/>
        <v>3000</v>
      </c>
      <c r="O42" s="259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</row>
    <row r="43" spans="1:28" ht="18.600000000000001" hidden="1" customHeight="1">
      <c r="A43" s="279">
        <v>19</v>
      </c>
      <c r="B43" s="297" t="s">
        <v>346</v>
      </c>
      <c r="C43" s="297" t="s">
        <v>221</v>
      </c>
      <c r="D43" s="297"/>
      <c r="E43" s="299" t="s">
        <v>100</v>
      </c>
      <c r="F43" s="254"/>
      <c r="G43" s="254"/>
      <c r="H43" s="254"/>
      <c r="I43" s="258"/>
      <c r="J43" s="247"/>
      <c r="K43" s="413">
        <v>3500</v>
      </c>
      <c r="L43" s="298"/>
      <c r="M43" s="454"/>
      <c r="N43" s="251">
        <f t="shared" si="7"/>
        <v>3500</v>
      </c>
      <c r="O43" s="259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</row>
    <row r="44" spans="1:28" ht="30.6" hidden="1" customHeight="1">
      <c r="A44" s="254">
        <v>20</v>
      </c>
      <c r="B44" s="278" t="s">
        <v>347</v>
      </c>
      <c r="C44" s="278">
        <v>244</v>
      </c>
      <c r="D44" s="278"/>
      <c r="E44" s="300" t="s">
        <v>70</v>
      </c>
      <c r="F44" s="254"/>
      <c r="G44" s="254"/>
      <c r="H44" s="254"/>
      <c r="I44" s="258"/>
      <c r="J44" s="247"/>
      <c r="K44" s="413">
        <v>1367600</v>
      </c>
      <c r="L44" s="301"/>
      <c r="M44" s="454">
        <v>1294108</v>
      </c>
      <c r="N44" s="251">
        <f t="shared" si="7"/>
        <v>73492</v>
      </c>
      <c r="O44" s="259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</row>
    <row r="45" spans="1:28" ht="39.6" hidden="1" customHeight="1">
      <c r="A45" s="302">
        <v>22</v>
      </c>
      <c r="B45" s="278" t="s">
        <v>348</v>
      </c>
      <c r="C45" s="278">
        <v>244</v>
      </c>
      <c r="D45" s="278"/>
      <c r="E45" s="296" t="s">
        <v>91</v>
      </c>
      <c r="F45" s="257">
        <v>216</v>
      </c>
      <c r="G45" s="257">
        <v>158</v>
      </c>
      <c r="H45" s="257">
        <v>140.19999999999999</v>
      </c>
      <c r="I45" s="258"/>
      <c r="J45" s="247">
        <f>F45*1</f>
        <v>216</v>
      </c>
      <c r="K45" s="413">
        <v>213900</v>
      </c>
      <c r="L45" s="282"/>
      <c r="M45" s="454">
        <v>84164.61</v>
      </c>
      <c r="N45" s="251">
        <f t="shared" si="7"/>
        <v>129735.39</v>
      </c>
      <c r="O45" s="259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</row>
    <row r="46" spans="1:28" ht="30" hidden="1" customHeight="1">
      <c r="A46" s="254">
        <v>21</v>
      </c>
      <c r="B46" s="278" t="s">
        <v>352</v>
      </c>
      <c r="C46" s="278">
        <v>244</v>
      </c>
      <c r="D46" s="278"/>
      <c r="E46" s="296" t="s">
        <v>76</v>
      </c>
      <c r="F46" s="257"/>
      <c r="G46" s="257"/>
      <c r="H46" s="257"/>
      <c r="I46" s="258"/>
      <c r="J46" s="247">
        <f>F46*1</f>
        <v>0</v>
      </c>
      <c r="K46" s="413">
        <v>19600</v>
      </c>
      <c r="L46" s="298"/>
      <c r="M46" s="454">
        <v>17600</v>
      </c>
      <c r="N46" s="251">
        <f t="shared" si="7"/>
        <v>2000</v>
      </c>
      <c r="O46" s="259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</row>
    <row r="47" spans="1:28" ht="48.6" hidden="1" customHeight="1">
      <c r="A47" s="254"/>
      <c r="B47" s="278" t="s">
        <v>350</v>
      </c>
      <c r="C47" s="278">
        <v>244</v>
      </c>
      <c r="D47" s="278"/>
      <c r="E47" s="296" t="s">
        <v>297</v>
      </c>
      <c r="F47" s="284"/>
      <c r="G47" s="284"/>
      <c r="H47" s="284"/>
      <c r="I47" s="258"/>
      <c r="J47" s="247"/>
      <c r="K47" s="413">
        <v>0</v>
      </c>
      <c r="L47" s="298"/>
      <c r="M47" s="454"/>
      <c r="N47" s="251">
        <f t="shared" si="7"/>
        <v>0</v>
      </c>
      <c r="O47" s="259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</row>
    <row r="48" spans="1:28" ht="34.200000000000003" hidden="1" customHeight="1">
      <c r="A48" s="302">
        <v>21</v>
      </c>
      <c r="B48" s="278" t="s">
        <v>351</v>
      </c>
      <c r="C48" s="278">
        <v>244</v>
      </c>
      <c r="D48" s="278"/>
      <c r="E48" s="296" t="s">
        <v>298</v>
      </c>
      <c r="F48" s="284"/>
      <c r="G48" s="284"/>
      <c r="H48" s="284"/>
      <c r="I48" s="258"/>
      <c r="J48" s="247"/>
      <c r="K48" s="413">
        <v>32600</v>
      </c>
      <c r="L48" s="282"/>
      <c r="M48" s="454">
        <v>32600</v>
      </c>
      <c r="N48" s="251">
        <f t="shared" si="7"/>
        <v>0</v>
      </c>
      <c r="O48" s="259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</row>
    <row r="49" spans="1:28" ht="18" hidden="1" customHeight="1">
      <c r="A49" s="302">
        <v>21</v>
      </c>
      <c r="B49" s="278" t="s">
        <v>352</v>
      </c>
      <c r="C49" s="278">
        <v>244</v>
      </c>
      <c r="D49" s="278"/>
      <c r="E49" s="296" t="s">
        <v>69</v>
      </c>
      <c r="F49" s="284"/>
      <c r="G49" s="284"/>
      <c r="H49" s="284"/>
      <c r="I49" s="258"/>
      <c r="J49" s="247"/>
      <c r="K49" s="413">
        <v>0</v>
      </c>
      <c r="L49" s="282"/>
      <c r="M49" s="454"/>
      <c r="N49" s="251">
        <f t="shared" si="7"/>
        <v>0</v>
      </c>
      <c r="O49" s="259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</row>
    <row r="50" spans="1:28" ht="13.2" hidden="1" customHeight="1">
      <c r="A50" s="254"/>
      <c r="B50" s="278"/>
      <c r="C50" s="278">
        <v>244</v>
      </c>
      <c r="D50" s="278"/>
      <c r="E50" s="296" t="s">
        <v>59</v>
      </c>
      <c r="F50" s="254"/>
      <c r="G50" s="254"/>
      <c r="H50" s="254"/>
      <c r="I50" s="258"/>
      <c r="J50" s="247">
        <f t="shared" ref="J50" si="10">F50*1</f>
        <v>0</v>
      </c>
      <c r="K50" s="413"/>
      <c r="L50" s="295"/>
      <c r="M50" s="454"/>
      <c r="N50" s="280">
        <f t="shared" si="7"/>
        <v>0</v>
      </c>
      <c r="O50" s="259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</row>
    <row r="51" spans="1:28" ht="17.399999999999999" hidden="1" customHeight="1">
      <c r="A51" s="302"/>
      <c r="B51" s="278" t="s">
        <v>352</v>
      </c>
      <c r="C51" s="278">
        <v>244</v>
      </c>
      <c r="D51" s="278"/>
      <c r="E51" s="296" t="s">
        <v>299</v>
      </c>
      <c r="F51" s="284"/>
      <c r="G51" s="284"/>
      <c r="H51" s="284"/>
      <c r="I51" s="258"/>
      <c r="J51" s="247"/>
      <c r="K51" s="413">
        <v>19200</v>
      </c>
      <c r="L51" s="282"/>
      <c r="M51" s="454">
        <v>19050</v>
      </c>
      <c r="N51" s="251">
        <f t="shared" si="7"/>
        <v>150</v>
      </c>
      <c r="O51" s="259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</row>
    <row r="52" spans="1:28" ht="28.2" hidden="1" customHeight="1">
      <c r="A52" s="302">
        <v>23</v>
      </c>
      <c r="B52" s="278" t="s">
        <v>350</v>
      </c>
      <c r="C52" s="278">
        <v>244</v>
      </c>
      <c r="D52" s="278"/>
      <c r="E52" s="296" t="s">
        <v>234</v>
      </c>
      <c r="F52" s="284"/>
      <c r="G52" s="284"/>
      <c r="H52" s="284"/>
      <c r="I52" s="258"/>
      <c r="J52" s="247"/>
      <c r="K52" s="413">
        <v>122500</v>
      </c>
      <c r="L52" s="282"/>
      <c r="M52" s="454">
        <v>49430</v>
      </c>
      <c r="N52" s="251">
        <f t="shared" si="7"/>
        <v>73070</v>
      </c>
      <c r="O52" s="259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</row>
    <row r="53" spans="1:28" ht="19.2" hidden="1" customHeight="1">
      <c r="A53" s="254">
        <v>24</v>
      </c>
      <c r="B53" s="278" t="s">
        <v>353</v>
      </c>
      <c r="C53" s="278">
        <v>244</v>
      </c>
      <c r="D53" s="278"/>
      <c r="E53" s="303" t="s">
        <v>161</v>
      </c>
      <c r="F53" s="240"/>
      <c r="G53" s="240"/>
      <c r="H53" s="240"/>
      <c r="I53" s="258"/>
      <c r="J53" s="247"/>
      <c r="K53" s="413">
        <v>0</v>
      </c>
      <c r="L53" s="282"/>
      <c r="M53" s="454"/>
      <c r="N53" s="251">
        <f t="shared" si="7"/>
        <v>0</v>
      </c>
      <c r="O53" s="259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</row>
    <row r="54" spans="1:28" ht="17.399999999999999" hidden="1" customHeight="1">
      <c r="A54" s="254">
        <v>25</v>
      </c>
      <c r="B54" s="278" t="s">
        <v>354</v>
      </c>
      <c r="C54" s="278">
        <v>244</v>
      </c>
      <c r="D54" s="278"/>
      <c r="E54" s="303" t="s">
        <v>117</v>
      </c>
      <c r="F54" s="240"/>
      <c r="G54" s="240"/>
      <c r="H54" s="240"/>
      <c r="I54" s="258"/>
      <c r="J54" s="247"/>
      <c r="K54" s="413">
        <v>7000</v>
      </c>
      <c r="L54" s="282"/>
      <c r="M54" s="454">
        <v>7000</v>
      </c>
      <c r="N54" s="251">
        <f t="shared" si="7"/>
        <v>0</v>
      </c>
      <c r="O54" s="259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</row>
    <row r="55" spans="1:28" ht="28.95" hidden="1" customHeight="1">
      <c r="A55" s="254"/>
      <c r="B55" s="278" t="s">
        <v>355</v>
      </c>
      <c r="C55" s="278">
        <v>244</v>
      </c>
      <c r="D55" s="278">
        <v>25</v>
      </c>
      <c r="E55" s="303" t="s">
        <v>224</v>
      </c>
      <c r="F55" s="240"/>
      <c r="G55" s="240"/>
      <c r="H55" s="240"/>
      <c r="I55" s="285"/>
      <c r="J55" s="247"/>
      <c r="K55" s="413">
        <v>0</v>
      </c>
      <c r="L55" s="282"/>
      <c r="M55" s="456"/>
      <c r="N55" s="251">
        <f t="shared" si="7"/>
        <v>0</v>
      </c>
      <c r="O55" s="259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</row>
    <row r="56" spans="1:28" ht="21" hidden="1" customHeight="1">
      <c r="A56" s="279"/>
      <c r="B56" s="297"/>
      <c r="C56" s="297" t="s">
        <v>221</v>
      </c>
      <c r="D56" s="297"/>
      <c r="E56" s="299" t="s">
        <v>287</v>
      </c>
      <c r="F56" s="254"/>
      <c r="G56" s="254"/>
      <c r="H56" s="254"/>
      <c r="I56" s="258"/>
      <c r="J56" s="247"/>
      <c r="K56" s="413"/>
      <c r="L56" s="298"/>
      <c r="M56" s="454"/>
      <c r="N56" s="280">
        <f t="shared" si="7"/>
        <v>0</v>
      </c>
      <c r="O56" s="259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</row>
    <row r="57" spans="1:28" ht="18.600000000000001" hidden="1" customHeight="1">
      <c r="A57" s="279">
        <v>19</v>
      </c>
      <c r="B57" s="297" t="s">
        <v>155</v>
      </c>
      <c r="C57" s="297" t="s">
        <v>221</v>
      </c>
      <c r="D57" s="297" t="s">
        <v>266</v>
      </c>
      <c r="E57" s="299" t="s">
        <v>100</v>
      </c>
      <c r="F57" s="254"/>
      <c r="G57" s="254"/>
      <c r="H57" s="254"/>
      <c r="I57" s="258"/>
      <c r="J57" s="247"/>
      <c r="K57" s="413"/>
      <c r="L57" s="298"/>
      <c r="M57" s="454"/>
      <c r="N57" s="251">
        <f t="shared" si="7"/>
        <v>0</v>
      </c>
      <c r="O57" s="259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</row>
    <row r="58" spans="1:28" ht="36" hidden="1" customHeight="1">
      <c r="A58" s="254">
        <v>20</v>
      </c>
      <c r="B58" s="278" t="s">
        <v>156</v>
      </c>
      <c r="C58" s="278">
        <v>244</v>
      </c>
      <c r="D58" s="278">
        <v>19</v>
      </c>
      <c r="E58" s="300" t="s">
        <v>70</v>
      </c>
      <c r="F58" s="254"/>
      <c r="G58" s="254"/>
      <c r="H58" s="254"/>
      <c r="I58" s="258"/>
      <c r="J58" s="247"/>
      <c r="K58" s="413"/>
      <c r="L58" s="301"/>
      <c r="M58" s="454"/>
      <c r="N58" s="251">
        <f t="shared" si="7"/>
        <v>0</v>
      </c>
      <c r="O58" s="259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</row>
    <row r="59" spans="1:28" ht="33.6" hidden="1" customHeight="1">
      <c r="A59" s="254">
        <v>20</v>
      </c>
      <c r="B59" s="278" t="s">
        <v>156</v>
      </c>
      <c r="C59" s="278">
        <v>244</v>
      </c>
      <c r="D59" s="278">
        <v>19</v>
      </c>
      <c r="E59" s="300" t="s">
        <v>11</v>
      </c>
      <c r="F59" s="254"/>
      <c r="G59" s="254"/>
      <c r="H59" s="254"/>
      <c r="I59" s="258"/>
      <c r="J59" s="247"/>
      <c r="K59" s="413"/>
      <c r="L59" s="301"/>
      <c r="M59" s="454"/>
      <c r="N59" s="251">
        <f t="shared" si="7"/>
        <v>0</v>
      </c>
      <c r="O59" s="259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</row>
    <row r="60" spans="1:28" ht="25.2" hidden="1" customHeight="1">
      <c r="A60" s="302">
        <v>23</v>
      </c>
      <c r="B60" s="278" t="s">
        <v>159</v>
      </c>
      <c r="C60" s="278">
        <v>244</v>
      </c>
      <c r="D60" s="278">
        <v>22</v>
      </c>
      <c r="E60" s="296" t="s">
        <v>234</v>
      </c>
      <c r="F60" s="284"/>
      <c r="G60" s="284"/>
      <c r="H60" s="284"/>
      <c r="I60" s="258"/>
      <c r="J60" s="247"/>
      <c r="K60" s="413"/>
      <c r="L60" s="282"/>
      <c r="M60" s="454"/>
      <c r="N60" s="251">
        <f t="shared" si="7"/>
        <v>0</v>
      </c>
      <c r="O60" s="259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</row>
    <row r="61" spans="1:28" ht="23.4" hidden="1" customHeight="1">
      <c r="A61" s="302"/>
      <c r="B61" s="278" t="s">
        <v>235</v>
      </c>
      <c r="C61" s="278">
        <v>244</v>
      </c>
      <c r="D61" s="278">
        <v>20</v>
      </c>
      <c r="E61" s="296" t="s">
        <v>236</v>
      </c>
      <c r="F61" s="284"/>
      <c r="G61" s="284"/>
      <c r="H61" s="284"/>
      <c r="I61" s="258"/>
      <c r="J61" s="247"/>
      <c r="K61" s="413"/>
      <c r="L61" s="282"/>
      <c r="M61" s="454"/>
      <c r="N61" s="251">
        <f t="shared" si="7"/>
        <v>0</v>
      </c>
      <c r="O61" s="259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</row>
    <row r="62" spans="1:28" ht="21" hidden="1" customHeight="1">
      <c r="A62" s="302">
        <v>21</v>
      </c>
      <c r="B62" s="278" t="s">
        <v>231</v>
      </c>
      <c r="C62" s="278">
        <v>244</v>
      </c>
      <c r="D62" s="278">
        <v>107</v>
      </c>
      <c r="E62" s="296" t="s">
        <v>232</v>
      </c>
      <c r="F62" s="284"/>
      <c r="G62" s="284"/>
      <c r="H62" s="284"/>
      <c r="I62" s="258"/>
      <c r="J62" s="247"/>
      <c r="K62" s="413"/>
      <c r="L62" s="282"/>
      <c r="M62" s="454"/>
      <c r="N62" s="251">
        <f t="shared" si="7"/>
        <v>0</v>
      </c>
      <c r="O62" s="259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</row>
    <row r="63" spans="1:28" ht="21" hidden="1" customHeight="1">
      <c r="A63" s="254">
        <v>23</v>
      </c>
      <c r="B63" s="278" t="s">
        <v>159</v>
      </c>
      <c r="C63" s="278">
        <v>244</v>
      </c>
      <c r="D63" s="278"/>
      <c r="E63" s="296" t="s">
        <v>92</v>
      </c>
      <c r="F63" s="284"/>
      <c r="G63" s="284"/>
      <c r="H63" s="284"/>
      <c r="I63" s="258"/>
      <c r="J63" s="247"/>
      <c r="K63" s="413"/>
      <c r="L63" s="282"/>
      <c r="M63" s="454"/>
      <c r="N63" s="251">
        <f t="shared" si="7"/>
        <v>0</v>
      </c>
      <c r="O63" s="259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</row>
    <row r="64" spans="1:28" ht="19.2" hidden="1" customHeight="1">
      <c r="A64" s="254">
        <v>24</v>
      </c>
      <c r="B64" s="278" t="s">
        <v>160</v>
      </c>
      <c r="C64" s="278">
        <v>244</v>
      </c>
      <c r="D64" s="278">
        <v>23</v>
      </c>
      <c r="E64" s="303" t="s">
        <v>161</v>
      </c>
      <c r="F64" s="240"/>
      <c r="G64" s="240"/>
      <c r="H64" s="240"/>
      <c r="I64" s="258"/>
      <c r="J64" s="247"/>
      <c r="K64" s="413"/>
      <c r="L64" s="282"/>
      <c r="M64" s="454"/>
      <c r="N64" s="251">
        <f t="shared" si="7"/>
        <v>0</v>
      </c>
      <c r="O64" s="259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</row>
    <row r="65" spans="1:28" ht="17.399999999999999" hidden="1" customHeight="1">
      <c r="A65" s="254">
        <v>25</v>
      </c>
      <c r="B65" s="278" t="s">
        <v>162</v>
      </c>
      <c r="C65" s="278">
        <v>244</v>
      </c>
      <c r="D65" s="278">
        <v>24</v>
      </c>
      <c r="E65" s="303" t="s">
        <v>117</v>
      </c>
      <c r="F65" s="240"/>
      <c r="G65" s="240"/>
      <c r="H65" s="240"/>
      <c r="I65" s="258"/>
      <c r="J65" s="247"/>
      <c r="K65" s="413"/>
      <c r="L65" s="282"/>
      <c r="M65" s="454"/>
      <c r="N65" s="251">
        <f t="shared" si="7"/>
        <v>0</v>
      </c>
      <c r="O65" s="259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</row>
    <row r="66" spans="1:28" ht="28.95" hidden="1" customHeight="1">
      <c r="A66" s="254"/>
      <c r="B66" s="278" t="s">
        <v>223</v>
      </c>
      <c r="C66" s="278">
        <v>244</v>
      </c>
      <c r="D66" s="278">
        <v>25</v>
      </c>
      <c r="E66" s="303" t="s">
        <v>224</v>
      </c>
      <c r="F66" s="240"/>
      <c r="G66" s="240"/>
      <c r="H66" s="240"/>
      <c r="I66" s="285"/>
      <c r="J66" s="247"/>
      <c r="K66" s="413"/>
      <c r="L66" s="282"/>
      <c r="M66" s="456"/>
      <c r="N66" s="251">
        <f t="shared" si="7"/>
        <v>0</v>
      </c>
      <c r="O66" s="259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</row>
    <row r="67" spans="1:28" ht="16.2" customHeight="1">
      <c r="A67" s="254"/>
      <c r="B67" s="274"/>
      <c r="C67" s="274"/>
      <c r="D67" s="260">
        <v>226</v>
      </c>
      <c r="E67" s="300" t="s">
        <v>19</v>
      </c>
      <c r="F67" s="402">
        <f>SUM(F68:F102)</f>
        <v>962.8</v>
      </c>
      <c r="G67" s="417">
        <f>SUM(G68:G102)</f>
        <v>915.3</v>
      </c>
      <c r="H67" s="402">
        <f>SUM(H68:H102)</f>
        <v>756.67</v>
      </c>
      <c r="I67" s="414"/>
      <c r="J67" s="410">
        <f t="shared" ref="J67:O67" si="11">SUM(J68:J102)</f>
        <v>1028</v>
      </c>
      <c r="K67" s="411">
        <f>SUM(K68:K104)</f>
        <v>3226300</v>
      </c>
      <c r="L67" s="412">
        <f t="shared" si="11"/>
        <v>0</v>
      </c>
      <c r="M67" s="465">
        <f>SUM(M68:M104)</f>
        <v>1857716.7000000002</v>
      </c>
      <c r="N67" s="277">
        <f t="shared" si="11"/>
        <v>1344873.2999999998</v>
      </c>
      <c r="O67" s="277">
        <f t="shared" si="11"/>
        <v>0</v>
      </c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</row>
    <row r="68" spans="1:28" ht="12" hidden="1" customHeight="1">
      <c r="A68" s="254"/>
      <c r="B68" s="304"/>
      <c r="C68" s="304"/>
      <c r="D68" s="293"/>
      <c r="E68" s="296" t="s">
        <v>2</v>
      </c>
      <c r="F68" s="254">
        <v>2.2999999999999998</v>
      </c>
      <c r="G68" s="254"/>
      <c r="H68" s="254"/>
      <c r="I68" s="258"/>
      <c r="J68" s="247">
        <f>F68*1</f>
        <v>2.2999999999999998</v>
      </c>
      <c r="K68" s="249"/>
      <c r="L68" s="282"/>
      <c r="M68" s="454"/>
      <c r="N68" s="251"/>
      <c r="O68" s="259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</row>
    <row r="69" spans="1:28" ht="15" hidden="1" customHeight="1">
      <c r="A69" s="254"/>
      <c r="B69" s="304"/>
      <c r="C69" s="304"/>
      <c r="D69" s="293"/>
      <c r="E69" s="296" t="s">
        <v>32</v>
      </c>
      <c r="F69" s="254"/>
      <c r="G69" s="255">
        <v>0.71</v>
      </c>
      <c r="H69" s="254">
        <v>0.71</v>
      </c>
      <c r="I69" s="258"/>
      <c r="J69" s="247"/>
      <c r="K69" s="249"/>
      <c r="L69" s="282"/>
      <c r="M69" s="454"/>
      <c r="N69" s="251"/>
      <c r="O69" s="259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</row>
    <row r="70" spans="1:28" ht="32.4" hidden="1" customHeight="1">
      <c r="A70" s="254">
        <v>26</v>
      </c>
      <c r="B70" s="278" t="s">
        <v>356</v>
      </c>
      <c r="C70" s="278">
        <v>244</v>
      </c>
      <c r="D70" s="278"/>
      <c r="E70" s="296" t="s">
        <v>93</v>
      </c>
      <c r="F70" s="254"/>
      <c r="G70" s="255"/>
      <c r="H70" s="254"/>
      <c r="I70" s="258"/>
      <c r="J70" s="247"/>
      <c r="K70" s="413">
        <v>44600</v>
      </c>
      <c r="L70" s="282"/>
      <c r="M70" s="454">
        <v>44556.08</v>
      </c>
      <c r="N70" s="251">
        <f t="shared" ref="N70:N104" si="12">(K70-M70)</f>
        <v>43.919999999998254</v>
      </c>
      <c r="O70" s="259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</row>
    <row r="71" spans="1:28" ht="20.399999999999999" hidden="1" customHeight="1">
      <c r="A71" s="254">
        <v>27</v>
      </c>
      <c r="B71" s="278" t="s">
        <v>357</v>
      </c>
      <c r="C71" s="278">
        <v>244</v>
      </c>
      <c r="D71" s="278"/>
      <c r="E71" s="296" t="s">
        <v>113</v>
      </c>
      <c r="F71" s="254"/>
      <c r="G71" s="254"/>
      <c r="H71" s="254"/>
      <c r="I71" s="258"/>
      <c r="J71" s="247"/>
      <c r="K71" s="413">
        <v>8000</v>
      </c>
      <c r="L71" s="295"/>
      <c r="M71" s="454"/>
      <c r="N71" s="251">
        <f t="shared" si="12"/>
        <v>8000</v>
      </c>
      <c r="O71" s="259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</row>
    <row r="72" spans="1:28" ht="10.95" hidden="1" customHeight="1">
      <c r="A72" s="254" t="s">
        <v>84</v>
      </c>
      <c r="B72" s="278">
        <v>7421000</v>
      </c>
      <c r="C72" s="278"/>
      <c r="D72" s="278"/>
      <c r="E72" s="279" t="s">
        <v>77</v>
      </c>
      <c r="F72" s="257"/>
      <c r="G72" s="255"/>
      <c r="H72" s="257"/>
      <c r="I72" s="258"/>
      <c r="J72" s="247"/>
      <c r="K72" s="413">
        <v>0</v>
      </c>
      <c r="L72" s="282"/>
      <c r="M72" s="454"/>
      <c r="N72" s="251">
        <f t="shared" si="12"/>
        <v>0</v>
      </c>
      <c r="O72" s="259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</row>
    <row r="73" spans="1:28" ht="19.95" hidden="1" customHeight="1">
      <c r="A73" s="254">
        <v>29</v>
      </c>
      <c r="B73" s="278" t="s">
        <v>358</v>
      </c>
      <c r="C73" s="278">
        <v>244</v>
      </c>
      <c r="D73" s="278"/>
      <c r="E73" s="300" t="s">
        <v>71</v>
      </c>
      <c r="F73" s="257">
        <v>45</v>
      </c>
      <c r="G73" s="257">
        <v>45</v>
      </c>
      <c r="H73" s="257">
        <v>45</v>
      </c>
      <c r="I73" s="258"/>
      <c r="J73" s="247">
        <v>110.2</v>
      </c>
      <c r="K73" s="413">
        <v>115000</v>
      </c>
      <c r="L73" s="282"/>
      <c r="M73" s="454">
        <v>99057</v>
      </c>
      <c r="N73" s="251">
        <f t="shared" si="12"/>
        <v>15943</v>
      </c>
      <c r="O73" s="259" t="s">
        <v>134</v>
      </c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</row>
    <row r="74" spans="1:28" ht="46.95" hidden="1" customHeight="1">
      <c r="A74" s="254">
        <v>30</v>
      </c>
      <c r="B74" s="278" t="s">
        <v>359</v>
      </c>
      <c r="C74" s="278">
        <v>244</v>
      </c>
      <c r="D74" s="278"/>
      <c r="E74" s="300" t="s">
        <v>12</v>
      </c>
      <c r="F74" s="257">
        <v>49</v>
      </c>
      <c r="G74" s="255">
        <v>48.59</v>
      </c>
      <c r="H74" s="255">
        <v>48.59</v>
      </c>
      <c r="I74" s="258"/>
      <c r="J74" s="247">
        <f>F74*1</f>
        <v>49</v>
      </c>
      <c r="K74" s="413">
        <v>74700</v>
      </c>
      <c r="L74" s="282"/>
      <c r="M74" s="454">
        <v>74630.38</v>
      </c>
      <c r="N74" s="280">
        <f t="shared" si="12"/>
        <v>69.619999999995343</v>
      </c>
      <c r="O74" s="259" t="s">
        <v>49</v>
      </c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</row>
    <row r="75" spans="1:28" ht="35.4" hidden="1" customHeight="1">
      <c r="A75" s="254">
        <v>31</v>
      </c>
      <c r="B75" s="278" t="s">
        <v>360</v>
      </c>
      <c r="C75" s="278">
        <v>244</v>
      </c>
      <c r="D75" s="278"/>
      <c r="E75" s="296" t="s">
        <v>10</v>
      </c>
      <c r="F75" s="257">
        <v>91</v>
      </c>
      <c r="G75" s="257">
        <v>101</v>
      </c>
      <c r="H75" s="257">
        <v>80.900000000000006</v>
      </c>
      <c r="I75" s="258"/>
      <c r="J75" s="247">
        <f>F75*1</f>
        <v>91</v>
      </c>
      <c r="K75" s="413">
        <v>279200</v>
      </c>
      <c r="L75" s="282"/>
      <c r="M75" s="454">
        <v>108346.61</v>
      </c>
      <c r="N75" s="251">
        <f t="shared" si="12"/>
        <v>170853.39</v>
      </c>
      <c r="O75" s="259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</row>
    <row r="76" spans="1:28" ht="29.4" hidden="1" customHeight="1">
      <c r="A76" s="279"/>
      <c r="B76" s="278"/>
      <c r="C76" s="278">
        <v>244</v>
      </c>
      <c r="D76" s="297"/>
      <c r="E76" s="296" t="s">
        <v>34</v>
      </c>
      <c r="F76" s="257">
        <v>513</v>
      </c>
      <c r="G76" s="257">
        <v>558</v>
      </c>
      <c r="H76" s="257">
        <v>450.2</v>
      </c>
      <c r="I76" s="258"/>
      <c r="J76" s="247">
        <f>F76*1</f>
        <v>513</v>
      </c>
      <c r="K76" s="413">
        <v>814700</v>
      </c>
      <c r="L76" s="282"/>
      <c r="M76" s="453">
        <v>491474.5</v>
      </c>
      <c r="N76" s="280">
        <f t="shared" si="12"/>
        <v>323225.5</v>
      </c>
      <c r="O76" s="259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</row>
    <row r="77" spans="1:28" ht="28.2" hidden="1" customHeight="1">
      <c r="A77" s="279" t="s">
        <v>84</v>
      </c>
      <c r="B77" s="278" t="s">
        <v>361</v>
      </c>
      <c r="C77" s="278">
        <v>244</v>
      </c>
      <c r="D77" s="278"/>
      <c r="E77" s="296" t="s">
        <v>238</v>
      </c>
      <c r="F77" s="257"/>
      <c r="G77" s="257"/>
      <c r="H77" s="257"/>
      <c r="I77" s="258"/>
      <c r="J77" s="247"/>
      <c r="K77" s="413">
        <v>295000</v>
      </c>
      <c r="L77" s="282"/>
      <c r="M77" s="453">
        <v>221250</v>
      </c>
      <c r="N77" s="280">
        <f t="shared" si="12"/>
        <v>73750</v>
      </c>
      <c r="O77" s="259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</row>
    <row r="78" spans="1:28" ht="18.600000000000001" hidden="1" customHeight="1">
      <c r="A78" s="254">
        <v>38</v>
      </c>
      <c r="B78" s="278" t="s">
        <v>362</v>
      </c>
      <c r="C78" s="278">
        <v>244</v>
      </c>
      <c r="D78" s="278"/>
      <c r="E78" s="296" t="s">
        <v>8</v>
      </c>
      <c r="F78" s="254">
        <v>6.2</v>
      </c>
      <c r="G78" s="254">
        <v>3.2</v>
      </c>
      <c r="H78" s="254">
        <v>2</v>
      </c>
      <c r="I78" s="258"/>
      <c r="J78" s="247">
        <f t="shared" ref="J78:J84" si="13">F78*1</f>
        <v>6.2</v>
      </c>
      <c r="K78" s="413">
        <v>8500</v>
      </c>
      <c r="L78" s="282"/>
      <c r="M78" s="454">
        <v>8500</v>
      </c>
      <c r="N78" s="251">
        <f t="shared" si="12"/>
        <v>0</v>
      </c>
      <c r="O78" s="259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</row>
    <row r="79" spans="1:28" ht="19.2" hidden="1" customHeight="1">
      <c r="A79" s="254">
        <v>39</v>
      </c>
      <c r="B79" s="278" t="s">
        <v>363</v>
      </c>
      <c r="C79" s="278">
        <v>244</v>
      </c>
      <c r="D79" s="278"/>
      <c r="E79" s="296" t="s">
        <v>170</v>
      </c>
      <c r="F79" s="257">
        <v>103</v>
      </c>
      <c r="G79" s="257">
        <v>91.8</v>
      </c>
      <c r="H79" s="257">
        <v>66</v>
      </c>
      <c r="I79" s="258"/>
      <c r="J79" s="247">
        <f t="shared" si="13"/>
        <v>103</v>
      </c>
      <c r="K79" s="413">
        <v>0</v>
      </c>
      <c r="L79" s="282"/>
      <c r="M79" s="454"/>
      <c r="N79" s="280">
        <f t="shared" si="12"/>
        <v>0</v>
      </c>
      <c r="O79" s="259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</row>
    <row r="80" spans="1:28" ht="16.95" hidden="1" customHeight="1">
      <c r="A80" s="254">
        <v>26</v>
      </c>
      <c r="B80" s="278" t="s">
        <v>364</v>
      </c>
      <c r="C80" s="278">
        <v>244</v>
      </c>
      <c r="D80" s="278"/>
      <c r="E80" s="296" t="s">
        <v>13</v>
      </c>
      <c r="F80" s="254"/>
      <c r="G80" s="254"/>
      <c r="H80" s="254"/>
      <c r="I80" s="258"/>
      <c r="J80" s="247">
        <f t="shared" si="13"/>
        <v>0</v>
      </c>
      <c r="K80" s="413">
        <f>22900-6300</f>
        <v>16600</v>
      </c>
      <c r="L80" s="295"/>
      <c r="M80" s="454">
        <v>9825</v>
      </c>
      <c r="N80" s="251">
        <f t="shared" si="12"/>
        <v>6775</v>
      </c>
      <c r="O80" s="259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</row>
    <row r="81" spans="1:28" ht="28.95" hidden="1" customHeight="1">
      <c r="A81" s="254">
        <v>177</v>
      </c>
      <c r="B81" s="278" t="s">
        <v>365</v>
      </c>
      <c r="C81" s="278">
        <v>244</v>
      </c>
      <c r="D81" s="278"/>
      <c r="E81" s="296" t="s">
        <v>254</v>
      </c>
      <c r="F81" s="240"/>
      <c r="G81" s="240"/>
      <c r="H81" s="240"/>
      <c r="I81" s="258"/>
      <c r="J81" s="247"/>
      <c r="K81" s="413">
        <v>0</v>
      </c>
      <c r="L81" s="282"/>
      <c r="M81" s="454"/>
      <c r="N81" s="251">
        <f t="shared" si="12"/>
        <v>0</v>
      </c>
      <c r="O81" s="259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</row>
    <row r="82" spans="1:28" ht="19.2" hidden="1" customHeight="1">
      <c r="A82" s="254">
        <v>137</v>
      </c>
      <c r="B82" s="278" t="s">
        <v>366</v>
      </c>
      <c r="C82" s="278">
        <v>244</v>
      </c>
      <c r="D82" s="278"/>
      <c r="E82" s="296" t="s">
        <v>78</v>
      </c>
      <c r="F82" s="240"/>
      <c r="G82" s="240"/>
      <c r="H82" s="240"/>
      <c r="I82" s="258"/>
      <c r="J82" s="247"/>
      <c r="K82" s="413">
        <v>84000</v>
      </c>
      <c r="L82" s="295"/>
      <c r="M82" s="454"/>
      <c r="N82" s="251">
        <f t="shared" si="12"/>
        <v>84000</v>
      </c>
      <c r="O82" s="259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</row>
    <row r="83" spans="1:28" ht="19.2" hidden="1" customHeight="1">
      <c r="A83" s="254">
        <v>138</v>
      </c>
      <c r="B83" s="278" t="s">
        <v>367</v>
      </c>
      <c r="C83" s="278">
        <v>244</v>
      </c>
      <c r="D83" s="278"/>
      <c r="E83" s="296" t="s">
        <v>213</v>
      </c>
      <c r="F83" s="240"/>
      <c r="G83" s="240"/>
      <c r="H83" s="240"/>
      <c r="I83" s="258"/>
      <c r="J83" s="247"/>
      <c r="K83" s="413">
        <v>12000</v>
      </c>
      <c r="L83" s="295"/>
      <c r="M83" s="454">
        <v>11960</v>
      </c>
      <c r="N83" s="251">
        <f t="shared" si="12"/>
        <v>40</v>
      </c>
      <c r="O83" s="259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</row>
    <row r="84" spans="1:28" ht="27" hidden="1" customHeight="1">
      <c r="A84" s="254">
        <v>43</v>
      </c>
      <c r="B84" s="278" t="s">
        <v>368</v>
      </c>
      <c r="C84" s="278">
        <v>244</v>
      </c>
      <c r="D84" s="278"/>
      <c r="E84" s="296" t="s">
        <v>28</v>
      </c>
      <c r="F84" s="254">
        <v>7.3</v>
      </c>
      <c r="G84" s="254"/>
      <c r="H84" s="254"/>
      <c r="I84" s="258"/>
      <c r="J84" s="247">
        <f t="shared" si="13"/>
        <v>7.3</v>
      </c>
      <c r="K84" s="413">
        <v>182400</v>
      </c>
      <c r="L84" s="295"/>
      <c r="M84" s="454">
        <v>85868</v>
      </c>
      <c r="N84" s="251">
        <f t="shared" si="12"/>
        <v>96532</v>
      </c>
      <c r="O84" s="259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</row>
    <row r="85" spans="1:28" ht="30.6" hidden="1" customHeight="1">
      <c r="A85" s="254">
        <v>217</v>
      </c>
      <c r="B85" s="278" t="s">
        <v>349</v>
      </c>
      <c r="C85" s="278">
        <v>244</v>
      </c>
      <c r="D85" s="278"/>
      <c r="E85" s="296" t="s">
        <v>79</v>
      </c>
      <c r="F85" s="240">
        <v>129</v>
      </c>
      <c r="G85" s="284">
        <v>50</v>
      </c>
      <c r="H85" s="240">
        <v>47.28</v>
      </c>
      <c r="I85" s="258"/>
      <c r="J85" s="247">
        <f>F85*1</f>
        <v>129</v>
      </c>
      <c r="K85" s="413">
        <v>25200</v>
      </c>
      <c r="L85" s="282"/>
      <c r="M85" s="454">
        <v>21000</v>
      </c>
      <c r="N85" s="251">
        <f t="shared" si="12"/>
        <v>4200</v>
      </c>
      <c r="O85" s="259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</row>
    <row r="86" spans="1:28" ht="16.95" hidden="1" customHeight="1">
      <c r="A86" s="254"/>
      <c r="B86" s="278" t="s">
        <v>369</v>
      </c>
      <c r="C86" s="278">
        <v>244</v>
      </c>
      <c r="D86" s="278"/>
      <c r="E86" s="296" t="s">
        <v>270</v>
      </c>
      <c r="F86" s="240"/>
      <c r="G86" s="284"/>
      <c r="H86" s="240"/>
      <c r="I86" s="258"/>
      <c r="J86" s="247"/>
      <c r="K86" s="413">
        <v>884000</v>
      </c>
      <c r="L86" s="282"/>
      <c r="M86" s="454">
        <v>461507.13</v>
      </c>
      <c r="N86" s="251">
        <f t="shared" si="12"/>
        <v>422492.87</v>
      </c>
      <c r="O86" s="259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</row>
    <row r="87" spans="1:28" ht="33.6" hidden="1" customHeight="1">
      <c r="A87" s="254">
        <v>203</v>
      </c>
      <c r="B87" s="278" t="s">
        <v>370</v>
      </c>
      <c r="C87" s="278">
        <v>244</v>
      </c>
      <c r="D87" s="278"/>
      <c r="E87" s="296" t="s">
        <v>240</v>
      </c>
      <c r="F87" s="240"/>
      <c r="G87" s="284"/>
      <c r="H87" s="240"/>
      <c r="I87" s="258"/>
      <c r="J87" s="247"/>
      <c r="K87" s="413">
        <v>14300</v>
      </c>
      <c r="L87" s="282"/>
      <c r="M87" s="454">
        <v>14300</v>
      </c>
      <c r="N87" s="251">
        <f t="shared" si="12"/>
        <v>0</v>
      </c>
      <c r="O87" s="259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</row>
    <row r="88" spans="1:28" ht="19.2" hidden="1" customHeight="1">
      <c r="A88" s="254"/>
      <c r="B88" s="278" t="s">
        <v>371</v>
      </c>
      <c r="C88" s="278">
        <v>244</v>
      </c>
      <c r="D88" s="278"/>
      <c r="E88" s="296" t="s">
        <v>274</v>
      </c>
      <c r="F88" s="240"/>
      <c r="G88" s="240"/>
      <c r="H88" s="240"/>
      <c r="I88" s="258"/>
      <c r="J88" s="247"/>
      <c r="K88" s="413">
        <v>0</v>
      </c>
      <c r="L88" s="282"/>
      <c r="M88" s="454"/>
      <c r="N88" s="251">
        <f t="shared" si="12"/>
        <v>0</v>
      </c>
      <c r="O88" s="259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</row>
    <row r="89" spans="1:28" ht="19.2" hidden="1" customHeight="1">
      <c r="A89" s="254"/>
      <c r="B89" s="278" t="s">
        <v>372</v>
      </c>
      <c r="C89" s="278">
        <v>244</v>
      </c>
      <c r="D89" s="278"/>
      <c r="E89" s="296" t="s">
        <v>301</v>
      </c>
      <c r="F89" s="240"/>
      <c r="G89" s="284"/>
      <c r="H89" s="240"/>
      <c r="I89" s="258"/>
      <c r="J89" s="247"/>
      <c r="K89" s="413">
        <v>30000</v>
      </c>
      <c r="L89" s="282"/>
      <c r="M89" s="454">
        <v>30000</v>
      </c>
      <c r="N89" s="251">
        <f t="shared" si="12"/>
        <v>0</v>
      </c>
      <c r="O89" s="259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28" ht="28.2" hidden="1" customHeight="1">
      <c r="A90" s="254">
        <v>44</v>
      </c>
      <c r="B90" s="278" t="s">
        <v>373</v>
      </c>
      <c r="C90" s="278">
        <v>244</v>
      </c>
      <c r="D90" s="278"/>
      <c r="E90" s="296" t="s">
        <v>124</v>
      </c>
      <c r="F90" s="254">
        <v>17</v>
      </c>
      <c r="G90" s="254">
        <v>17</v>
      </c>
      <c r="H90" s="254">
        <v>15.99</v>
      </c>
      <c r="I90" s="258"/>
      <c r="J90" s="247">
        <f>F90*1</f>
        <v>17</v>
      </c>
      <c r="K90" s="413">
        <v>154200</v>
      </c>
      <c r="L90" s="282"/>
      <c r="M90" s="454">
        <v>22464</v>
      </c>
      <c r="N90" s="251">
        <f t="shared" si="12"/>
        <v>131736</v>
      </c>
      <c r="O90" s="259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</row>
    <row r="91" spans="1:28" ht="19.95" hidden="1" customHeight="1">
      <c r="A91" s="254"/>
      <c r="B91" s="278" t="s">
        <v>376</v>
      </c>
      <c r="C91" s="278">
        <v>244</v>
      </c>
      <c r="D91" s="278"/>
      <c r="E91" s="296" t="s">
        <v>374</v>
      </c>
      <c r="F91" s="240"/>
      <c r="G91" s="240"/>
      <c r="H91" s="240"/>
      <c r="I91" s="258"/>
      <c r="J91" s="247"/>
      <c r="K91" s="413">
        <v>3000</v>
      </c>
      <c r="L91" s="282"/>
      <c r="M91" s="454">
        <v>2928</v>
      </c>
      <c r="N91" s="251">
        <f t="shared" si="12"/>
        <v>72</v>
      </c>
      <c r="O91" s="259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</row>
    <row r="92" spans="1:28" ht="18" hidden="1" customHeight="1">
      <c r="A92" s="254"/>
      <c r="B92" s="278" t="s">
        <v>326</v>
      </c>
      <c r="C92" s="278">
        <v>244</v>
      </c>
      <c r="D92" s="278"/>
      <c r="E92" s="296" t="s">
        <v>325</v>
      </c>
      <c r="F92" s="240"/>
      <c r="G92" s="240"/>
      <c r="H92" s="240"/>
      <c r="I92" s="258"/>
      <c r="J92" s="247"/>
      <c r="K92" s="413">
        <v>0</v>
      </c>
      <c r="L92" s="282"/>
      <c r="M92" s="454"/>
      <c r="N92" s="251">
        <f t="shared" si="12"/>
        <v>0</v>
      </c>
      <c r="O92" s="259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</row>
    <row r="93" spans="1:28" ht="18" hidden="1" customHeight="1">
      <c r="A93" s="254"/>
      <c r="B93" s="278" t="s">
        <v>408</v>
      </c>
      <c r="C93" s="278">
        <v>244</v>
      </c>
      <c r="D93" s="278"/>
      <c r="E93" s="296" t="s">
        <v>409</v>
      </c>
      <c r="F93" s="240"/>
      <c r="G93" s="240"/>
      <c r="H93" s="240"/>
      <c r="I93" s="258"/>
      <c r="J93" s="247"/>
      <c r="K93" s="413">
        <v>3000</v>
      </c>
      <c r="L93" s="282"/>
      <c r="M93" s="454">
        <v>500</v>
      </c>
      <c r="N93" s="251">
        <f t="shared" si="12"/>
        <v>2500</v>
      </c>
      <c r="O93" s="259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</row>
    <row r="94" spans="1:28" ht="20.399999999999999" hidden="1" customHeight="1">
      <c r="A94" s="254">
        <v>203</v>
      </c>
      <c r="B94" s="278" t="s">
        <v>375</v>
      </c>
      <c r="C94" s="278">
        <v>244</v>
      </c>
      <c r="D94" s="278"/>
      <c r="E94" s="296" t="s">
        <v>303</v>
      </c>
      <c r="F94" s="240"/>
      <c r="G94" s="240"/>
      <c r="H94" s="240"/>
      <c r="I94" s="258"/>
      <c r="J94" s="247"/>
      <c r="K94" s="413">
        <v>27800</v>
      </c>
      <c r="L94" s="282"/>
      <c r="M94" s="454">
        <v>23160</v>
      </c>
      <c r="N94" s="251">
        <f t="shared" si="12"/>
        <v>4640</v>
      </c>
      <c r="O94" s="259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</row>
    <row r="95" spans="1:28" ht="22.95" hidden="1" customHeight="1">
      <c r="A95" s="254"/>
      <c r="B95" s="278" t="s">
        <v>277</v>
      </c>
      <c r="C95" s="278">
        <v>244</v>
      </c>
      <c r="D95" s="278">
        <v>141</v>
      </c>
      <c r="E95" s="296" t="s">
        <v>278</v>
      </c>
      <c r="F95" s="240"/>
      <c r="G95" s="240"/>
      <c r="H95" s="240"/>
      <c r="I95" s="258"/>
      <c r="J95" s="247"/>
      <c r="K95" s="413"/>
      <c r="L95" s="282"/>
      <c r="M95" s="454"/>
      <c r="N95" s="251">
        <f t="shared" si="12"/>
        <v>0</v>
      </c>
      <c r="O95" s="259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</row>
    <row r="96" spans="1:28" ht="22.95" hidden="1" customHeight="1">
      <c r="A96" s="254"/>
      <c r="B96" s="278" t="s">
        <v>227</v>
      </c>
      <c r="C96" s="278">
        <v>244</v>
      </c>
      <c r="D96" s="278">
        <v>111</v>
      </c>
      <c r="E96" s="296" t="s">
        <v>268</v>
      </c>
      <c r="F96" s="240"/>
      <c r="G96" s="240"/>
      <c r="H96" s="240"/>
      <c r="I96" s="258"/>
      <c r="J96" s="247"/>
      <c r="K96" s="413"/>
      <c r="L96" s="282"/>
      <c r="M96" s="454"/>
      <c r="N96" s="251">
        <f t="shared" si="12"/>
        <v>0</v>
      </c>
      <c r="O96" s="259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</row>
    <row r="97" spans="1:28" ht="19.95" hidden="1" customHeight="1">
      <c r="A97" s="254">
        <v>200</v>
      </c>
      <c r="B97" s="278" t="s">
        <v>227</v>
      </c>
      <c r="C97" s="278">
        <v>244</v>
      </c>
      <c r="D97" s="278">
        <v>111</v>
      </c>
      <c r="E97" s="296" t="s">
        <v>228</v>
      </c>
      <c r="F97" s="240"/>
      <c r="G97" s="240"/>
      <c r="H97" s="240"/>
      <c r="I97" s="258"/>
      <c r="J97" s="247"/>
      <c r="K97" s="413"/>
      <c r="L97" s="282"/>
      <c r="M97" s="454"/>
      <c r="N97" s="251">
        <f t="shared" si="12"/>
        <v>0</v>
      </c>
      <c r="O97" s="259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</row>
    <row r="98" spans="1:28" ht="23.4" hidden="1" customHeight="1">
      <c r="A98" s="254">
        <v>203</v>
      </c>
      <c r="B98" s="278" t="s">
        <v>261</v>
      </c>
      <c r="C98" s="278">
        <v>244</v>
      </c>
      <c r="D98" s="278">
        <v>112</v>
      </c>
      <c r="E98" s="296" t="s">
        <v>262</v>
      </c>
      <c r="F98" s="240"/>
      <c r="G98" s="240"/>
      <c r="H98" s="240"/>
      <c r="I98" s="258"/>
      <c r="J98" s="247"/>
      <c r="K98" s="413"/>
      <c r="L98" s="282"/>
      <c r="M98" s="454"/>
      <c r="N98" s="251">
        <f t="shared" si="12"/>
        <v>0</v>
      </c>
      <c r="O98" s="259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</row>
    <row r="99" spans="1:28" ht="19.2" hidden="1" customHeight="1">
      <c r="A99" s="254">
        <v>42</v>
      </c>
      <c r="B99" s="278" t="s">
        <v>227</v>
      </c>
      <c r="C99" s="278">
        <v>244</v>
      </c>
      <c r="D99" s="278">
        <v>111</v>
      </c>
      <c r="E99" s="296" t="s">
        <v>260</v>
      </c>
      <c r="F99" s="240"/>
      <c r="G99" s="240"/>
      <c r="H99" s="240"/>
      <c r="I99" s="258"/>
      <c r="J99" s="247"/>
      <c r="K99" s="413"/>
      <c r="L99" s="282"/>
      <c r="M99" s="454"/>
      <c r="N99" s="251">
        <f t="shared" si="12"/>
        <v>0</v>
      </c>
      <c r="O99" s="259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</row>
    <row r="100" spans="1:28" ht="19.2" hidden="1" customHeight="1">
      <c r="A100" s="254"/>
      <c r="B100" s="278" t="s">
        <v>273</v>
      </c>
      <c r="C100" s="278">
        <v>244</v>
      </c>
      <c r="D100" s="278">
        <v>132</v>
      </c>
      <c r="E100" s="296" t="s">
        <v>274</v>
      </c>
      <c r="F100" s="240"/>
      <c r="G100" s="240"/>
      <c r="H100" s="240"/>
      <c r="I100" s="258"/>
      <c r="J100" s="247"/>
      <c r="K100" s="413"/>
      <c r="L100" s="282"/>
      <c r="M100" s="454"/>
      <c r="N100" s="251">
        <f t="shared" si="12"/>
        <v>0</v>
      </c>
      <c r="O100" s="259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</row>
    <row r="101" spans="1:28" ht="24.6" hidden="1" customHeight="1">
      <c r="A101" s="254">
        <v>45</v>
      </c>
      <c r="B101" s="278" t="s">
        <v>176</v>
      </c>
      <c r="C101" s="278">
        <v>244</v>
      </c>
      <c r="D101" s="278"/>
      <c r="E101" s="296" t="s">
        <v>122</v>
      </c>
      <c r="F101" s="240"/>
      <c r="G101" s="240"/>
      <c r="H101" s="240"/>
      <c r="I101" s="258"/>
      <c r="J101" s="247"/>
      <c r="K101" s="413">
        <f>37960-37960</f>
        <v>0</v>
      </c>
      <c r="L101" s="282"/>
      <c r="M101" s="454"/>
      <c r="N101" s="251">
        <f t="shared" si="12"/>
        <v>0</v>
      </c>
      <c r="O101" s="259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</row>
    <row r="102" spans="1:28" ht="13.95" hidden="1" customHeight="1">
      <c r="A102" s="254"/>
      <c r="B102" s="254" t="s">
        <v>227</v>
      </c>
      <c r="C102" s="305">
        <v>244</v>
      </c>
      <c r="D102" s="254"/>
      <c r="E102" s="254" t="s">
        <v>228</v>
      </c>
      <c r="F102" s="240"/>
      <c r="G102" s="240"/>
      <c r="H102" s="240"/>
      <c r="I102" s="258"/>
      <c r="J102" s="247"/>
      <c r="K102" s="220"/>
      <c r="L102" s="282"/>
      <c r="M102" s="454"/>
      <c r="N102" s="251">
        <f t="shared" si="12"/>
        <v>0</v>
      </c>
      <c r="O102" s="259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</row>
    <row r="103" spans="1:28" ht="25.95" hidden="1" customHeight="1">
      <c r="A103" s="254"/>
      <c r="B103" s="304"/>
      <c r="C103" s="304"/>
      <c r="D103" s="293"/>
      <c r="E103" s="296" t="s">
        <v>55</v>
      </c>
      <c r="F103" s="240"/>
      <c r="G103" s="240"/>
      <c r="H103" s="240"/>
      <c r="I103" s="285"/>
      <c r="J103" s="247"/>
      <c r="K103" s="249"/>
      <c r="L103" s="282"/>
      <c r="M103" s="456"/>
      <c r="N103" s="251">
        <f t="shared" si="12"/>
        <v>0</v>
      </c>
      <c r="O103" s="259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</row>
    <row r="104" spans="1:28" ht="25.95" hidden="1" customHeight="1">
      <c r="A104" s="254"/>
      <c r="B104" s="293" t="s">
        <v>411</v>
      </c>
      <c r="C104" s="278">
        <v>244</v>
      </c>
      <c r="D104" s="293"/>
      <c r="E104" s="296" t="s">
        <v>412</v>
      </c>
      <c r="F104" s="240"/>
      <c r="G104" s="240"/>
      <c r="H104" s="240"/>
      <c r="I104" s="285"/>
      <c r="J104" s="247"/>
      <c r="K104" s="396">
        <v>150100</v>
      </c>
      <c r="L104" s="282"/>
      <c r="M104" s="456">
        <v>126390</v>
      </c>
      <c r="N104" s="251">
        <f t="shared" si="12"/>
        <v>23710</v>
      </c>
      <c r="O104" s="259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</row>
    <row r="105" spans="1:28" ht="17.399999999999999" customHeight="1">
      <c r="A105" s="254"/>
      <c r="B105" s="418"/>
      <c r="C105" s="418"/>
      <c r="D105" s="419">
        <v>290</v>
      </c>
      <c r="E105" s="426" t="s">
        <v>417</v>
      </c>
      <c r="F105" s="420">
        <f>SUM(F106:F114)</f>
        <v>2421</v>
      </c>
      <c r="G105" s="420">
        <f>SUM(G106:G114)</f>
        <v>2157</v>
      </c>
      <c r="H105" s="420">
        <f>SUM(H106:H114)</f>
        <v>1854.26</v>
      </c>
      <c r="I105" s="421"/>
      <c r="J105" s="422">
        <f t="shared" ref="J105" si="14">SUM(J106:J114)</f>
        <v>3166</v>
      </c>
      <c r="K105" s="423">
        <f>SUM(K106:K115)</f>
        <v>998800</v>
      </c>
      <c r="L105" s="424">
        <f>SUM(L106:L115)</f>
        <v>0</v>
      </c>
      <c r="M105" s="458">
        <f>SUM(M106:M115)</f>
        <v>549998.55000000005</v>
      </c>
      <c r="N105" s="403">
        <f t="shared" ref="N105:O105" si="15">SUM(N106:N115)</f>
        <v>448801.44999999995</v>
      </c>
      <c r="O105" s="307">
        <f t="shared" si="15"/>
        <v>0</v>
      </c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</row>
    <row r="106" spans="1:28" ht="24.6" customHeight="1">
      <c r="A106" s="254"/>
      <c r="B106" s="425"/>
      <c r="C106" s="419">
        <v>851</v>
      </c>
      <c r="D106" s="425"/>
      <c r="E106" s="426" t="s">
        <v>63</v>
      </c>
      <c r="F106" s="427">
        <v>240</v>
      </c>
      <c r="G106" s="427">
        <v>0.3</v>
      </c>
      <c r="H106" s="427">
        <v>0.26</v>
      </c>
      <c r="I106" s="428"/>
      <c r="J106" s="422">
        <f>F106*1</f>
        <v>240</v>
      </c>
      <c r="K106" s="397">
        <v>150200</v>
      </c>
      <c r="L106" s="429"/>
      <c r="M106" s="458">
        <v>150102</v>
      </c>
      <c r="N106" s="251">
        <f t="shared" ref="N106:N115" si="16">(K106-M106)</f>
        <v>98</v>
      </c>
      <c r="O106" s="259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</row>
    <row r="107" spans="1:28" ht="28.2" customHeight="1">
      <c r="A107" s="254"/>
      <c r="B107" s="425"/>
      <c r="C107" s="419">
        <v>852</v>
      </c>
      <c r="D107" s="425"/>
      <c r="E107" s="426" t="s">
        <v>94</v>
      </c>
      <c r="F107" s="427">
        <v>2065</v>
      </c>
      <c r="G107" s="427">
        <v>2065</v>
      </c>
      <c r="H107" s="427">
        <v>1785</v>
      </c>
      <c r="I107" s="428"/>
      <c r="J107" s="422">
        <v>2700</v>
      </c>
      <c r="K107" s="397">
        <v>42000</v>
      </c>
      <c r="L107" s="429"/>
      <c r="M107" s="458">
        <v>41938</v>
      </c>
      <c r="N107" s="251">
        <f t="shared" si="16"/>
        <v>62</v>
      </c>
      <c r="O107" s="259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  <c r="AB107" s="254"/>
    </row>
    <row r="108" spans="1:28" ht="25.2" customHeight="1">
      <c r="A108" s="254"/>
      <c r="B108" s="425"/>
      <c r="C108" s="419">
        <v>851</v>
      </c>
      <c r="D108" s="425"/>
      <c r="E108" s="426" t="s">
        <v>95</v>
      </c>
      <c r="F108" s="427"/>
      <c r="G108" s="427"/>
      <c r="H108" s="427"/>
      <c r="I108" s="428"/>
      <c r="J108" s="422"/>
      <c r="K108" s="397">
        <v>132000</v>
      </c>
      <c r="L108" s="429"/>
      <c r="M108" s="458">
        <v>131922</v>
      </c>
      <c r="N108" s="251">
        <f t="shared" si="16"/>
        <v>78</v>
      </c>
      <c r="O108" s="259"/>
      <c r="P108" s="254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  <c r="AA108" s="254"/>
      <c r="AB108" s="254"/>
    </row>
    <row r="109" spans="1:28" ht="32.4" customHeight="1">
      <c r="A109" s="254"/>
      <c r="B109" s="425"/>
      <c r="C109" s="419">
        <v>852</v>
      </c>
      <c r="D109" s="425"/>
      <c r="E109" s="426" t="s">
        <v>56</v>
      </c>
      <c r="F109" s="427"/>
      <c r="G109" s="427"/>
      <c r="H109" s="427"/>
      <c r="I109" s="428"/>
      <c r="J109" s="422"/>
      <c r="K109" s="397">
        <v>9000</v>
      </c>
      <c r="L109" s="429"/>
      <c r="M109" s="458">
        <v>189.44</v>
      </c>
      <c r="N109" s="251">
        <f t="shared" si="16"/>
        <v>8810.56</v>
      </c>
      <c r="O109" s="259"/>
      <c r="P109" s="254"/>
      <c r="Q109" s="254"/>
      <c r="R109" s="254"/>
      <c r="S109" s="254"/>
      <c r="T109" s="254"/>
      <c r="U109" s="254"/>
      <c r="V109" s="254"/>
      <c r="W109" s="254"/>
      <c r="X109" s="254"/>
      <c r="Y109" s="254"/>
      <c r="Z109" s="254"/>
      <c r="AA109" s="254"/>
      <c r="AB109" s="254"/>
    </row>
    <row r="110" spans="1:28" ht="28.2" customHeight="1">
      <c r="A110" s="254"/>
      <c r="B110" s="425"/>
      <c r="C110" s="419">
        <v>831</v>
      </c>
      <c r="D110" s="425"/>
      <c r="E110" s="426" t="s">
        <v>7</v>
      </c>
      <c r="F110" s="427">
        <v>1</v>
      </c>
      <c r="G110" s="427">
        <v>41</v>
      </c>
      <c r="H110" s="427">
        <v>20</v>
      </c>
      <c r="I110" s="428"/>
      <c r="J110" s="422">
        <f>F110*1</f>
        <v>1</v>
      </c>
      <c r="K110" s="397">
        <v>300000</v>
      </c>
      <c r="L110" s="429"/>
      <c r="M110" s="458">
        <v>40713</v>
      </c>
      <c r="N110" s="251">
        <f t="shared" si="16"/>
        <v>259287</v>
      </c>
      <c r="O110" s="259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</row>
    <row r="111" spans="1:28" ht="25.2" hidden="1" customHeight="1">
      <c r="A111" s="254"/>
      <c r="B111" s="425"/>
      <c r="C111" s="419">
        <v>831</v>
      </c>
      <c r="D111" s="425"/>
      <c r="E111" s="426" t="s">
        <v>137</v>
      </c>
      <c r="F111" s="427">
        <v>80</v>
      </c>
      <c r="G111" s="427">
        <v>36.700000000000003</v>
      </c>
      <c r="H111" s="427">
        <v>36.6</v>
      </c>
      <c r="I111" s="428"/>
      <c r="J111" s="422">
        <v>150</v>
      </c>
      <c r="K111" s="397">
        <v>100000</v>
      </c>
      <c r="L111" s="429"/>
      <c r="M111" s="458"/>
      <c r="N111" s="251">
        <f t="shared" si="16"/>
        <v>100000</v>
      </c>
      <c r="O111" s="259"/>
      <c r="P111" s="254"/>
      <c r="Q111" s="254"/>
      <c r="R111" s="254"/>
      <c r="S111" s="254"/>
      <c r="T111" s="254"/>
      <c r="U111" s="254"/>
      <c r="V111" s="254"/>
      <c r="W111" s="254"/>
      <c r="X111" s="254"/>
      <c r="Y111" s="254"/>
      <c r="Z111" s="254"/>
      <c r="AA111" s="254"/>
      <c r="AB111" s="254"/>
    </row>
    <row r="112" spans="1:28" ht="40.200000000000003" customHeight="1">
      <c r="A112" s="254"/>
      <c r="B112" s="425"/>
      <c r="C112" s="419">
        <v>852</v>
      </c>
      <c r="D112" s="425"/>
      <c r="E112" s="426" t="s">
        <v>38</v>
      </c>
      <c r="F112" s="427">
        <v>29</v>
      </c>
      <c r="G112" s="427">
        <v>9</v>
      </c>
      <c r="H112" s="427">
        <v>8.9</v>
      </c>
      <c r="I112" s="428"/>
      <c r="J112" s="422">
        <v>69</v>
      </c>
      <c r="K112" s="397">
        <v>209600</v>
      </c>
      <c r="L112" s="429"/>
      <c r="M112" s="458">
        <v>175592.6</v>
      </c>
      <c r="N112" s="251">
        <f t="shared" si="16"/>
        <v>34007.399999999994</v>
      </c>
      <c r="O112" s="259"/>
      <c r="P112" s="254"/>
      <c r="Q112" s="254"/>
      <c r="R112" s="254"/>
      <c r="S112" s="254"/>
      <c r="T112" s="254"/>
      <c r="U112" s="254"/>
      <c r="V112" s="254"/>
      <c r="W112" s="254"/>
      <c r="X112" s="254"/>
      <c r="Y112" s="254"/>
      <c r="Z112" s="254"/>
      <c r="AA112" s="254"/>
      <c r="AB112" s="254"/>
    </row>
    <row r="113" spans="1:28" ht="27" customHeight="1">
      <c r="A113" s="254"/>
      <c r="B113" s="425"/>
      <c r="C113" s="419">
        <v>853</v>
      </c>
      <c r="D113" s="425"/>
      <c r="E113" s="430" t="s">
        <v>413</v>
      </c>
      <c r="F113" s="431"/>
      <c r="G113" s="431"/>
      <c r="H113" s="431"/>
      <c r="I113" s="428"/>
      <c r="J113" s="422"/>
      <c r="K113" s="397">
        <v>50000</v>
      </c>
      <c r="L113" s="429"/>
      <c r="M113" s="458">
        <v>4341.51</v>
      </c>
      <c r="N113" s="251">
        <f t="shared" si="16"/>
        <v>45658.49</v>
      </c>
      <c r="O113" s="259"/>
      <c r="P113" s="254"/>
      <c r="Q113" s="254"/>
      <c r="R113" s="254"/>
      <c r="S113" s="254"/>
      <c r="T113" s="254"/>
      <c r="U113" s="254"/>
      <c r="V113" s="254"/>
      <c r="W113" s="254"/>
      <c r="X113" s="254"/>
      <c r="Y113" s="254"/>
      <c r="Z113" s="254"/>
      <c r="AA113" s="254"/>
      <c r="AB113" s="254"/>
    </row>
    <row r="114" spans="1:28" ht="31.95" customHeight="1">
      <c r="A114" s="254">
        <v>46</v>
      </c>
      <c r="B114" s="432" t="s">
        <v>378</v>
      </c>
      <c r="C114" s="419">
        <v>244</v>
      </c>
      <c r="D114" s="432"/>
      <c r="E114" s="426" t="s">
        <v>377</v>
      </c>
      <c r="F114" s="431">
        <v>6</v>
      </c>
      <c r="G114" s="431">
        <v>5</v>
      </c>
      <c r="H114" s="431">
        <v>3.5</v>
      </c>
      <c r="I114" s="428"/>
      <c r="J114" s="422">
        <f>F114*1</f>
        <v>6</v>
      </c>
      <c r="K114" s="397">
        <v>2000</v>
      </c>
      <c r="L114" s="429"/>
      <c r="M114" s="458">
        <v>2000</v>
      </c>
      <c r="N114" s="251">
        <f t="shared" si="16"/>
        <v>0</v>
      </c>
      <c r="O114" s="259"/>
      <c r="P114" s="254"/>
      <c r="Q114" s="254"/>
      <c r="R114" s="254"/>
      <c r="S114" s="254"/>
      <c r="T114" s="254"/>
      <c r="U114" s="254"/>
      <c r="V114" s="254"/>
      <c r="W114" s="254"/>
      <c r="X114" s="254"/>
      <c r="Y114" s="254"/>
      <c r="Z114" s="254"/>
      <c r="AA114" s="254"/>
      <c r="AB114" s="254"/>
    </row>
    <row r="115" spans="1:28" ht="43.2" customHeight="1">
      <c r="A115" s="254">
        <v>47</v>
      </c>
      <c r="B115" s="432" t="s">
        <v>379</v>
      </c>
      <c r="C115" s="419">
        <v>244</v>
      </c>
      <c r="D115" s="432"/>
      <c r="E115" s="426" t="s">
        <v>102</v>
      </c>
      <c r="F115" s="431"/>
      <c r="G115" s="431"/>
      <c r="H115" s="431"/>
      <c r="I115" s="421"/>
      <c r="J115" s="433"/>
      <c r="K115" s="397">
        <f>2200+1800</f>
        <v>4000</v>
      </c>
      <c r="L115" s="429"/>
      <c r="M115" s="458">
        <v>3200</v>
      </c>
      <c r="N115" s="292">
        <f t="shared" si="16"/>
        <v>800</v>
      </c>
      <c r="O115" s="308"/>
      <c r="P115" s="254"/>
      <c r="Q115" s="254"/>
      <c r="R115" s="254"/>
      <c r="S115" s="254"/>
      <c r="T115" s="254"/>
      <c r="U115" s="254"/>
      <c r="V115" s="254"/>
      <c r="W115" s="254"/>
      <c r="X115" s="254"/>
      <c r="Y115" s="254"/>
      <c r="Z115" s="254"/>
      <c r="AA115" s="254"/>
      <c r="AB115" s="254"/>
    </row>
    <row r="116" spans="1:28" ht="19.95" hidden="1" customHeight="1">
      <c r="A116" s="254"/>
      <c r="B116" s="418"/>
      <c r="C116" s="418"/>
      <c r="D116" s="451">
        <v>300</v>
      </c>
      <c r="E116" s="426" t="s">
        <v>21</v>
      </c>
      <c r="F116" s="420">
        <f>F117+F121+F122</f>
        <v>2506.6999999999998</v>
      </c>
      <c r="G116" s="420">
        <f>G117+G121+G122</f>
        <v>2187.8000000000002</v>
      </c>
      <c r="H116" s="420">
        <f>H117+H121+H122</f>
        <v>1885.7200000000003</v>
      </c>
      <c r="I116" s="421"/>
      <c r="J116" s="433">
        <f>J117+J121+J122</f>
        <v>2506.6999999999998</v>
      </c>
      <c r="K116" s="423">
        <f>K117+K121+K122+K120</f>
        <v>6431000</v>
      </c>
      <c r="L116" s="424">
        <f t="shared" ref="L116:M116" si="17">L117+L121+L122</f>
        <v>0</v>
      </c>
      <c r="M116" s="458">
        <f t="shared" si="17"/>
        <v>5583847.7400000002</v>
      </c>
      <c r="N116" s="270">
        <f>N117+N121+N122+N120</f>
        <v>847152.25999999989</v>
      </c>
      <c r="O116" s="309">
        <f>O117+O121+O122+O120</f>
        <v>0</v>
      </c>
      <c r="P116" s="254"/>
      <c r="Q116" s="254"/>
      <c r="R116" s="254"/>
      <c r="S116" s="254"/>
      <c r="T116" s="254"/>
      <c r="U116" s="254"/>
      <c r="V116" s="254"/>
      <c r="W116" s="254"/>
      <c r="X116" s="254"/>
      <c r="Y116" s="254"/>
      <c r="Z116" s="254"/>
      <c r="AA116" s="254"/>
      <c r="AB116" s="254"/>
    </row>
    <row r="117" spans="1:28" ht="20.399999999999999" customHeight="1">
      <c r="A117" s="254"/>
      <c r="B117" s="434"/>
      <c r="C117" s="434"/>
      <c r="D117" s="451">
        <v>310</v>
      </c>
      <c r="E117" s="426" t="s">
        <v>22</v>
      </c>
      <c r="F117" s="420">
        <f>SUM(F118:F119)</f>
        <v>989</v>
      </c>
      <c r="G117" s="420">
        <f>SUM(G118:G119)</f>
        <v>896</v>
      </c>
      <c r="H117" s="420">
        <f>SUM(H118:H119)</f>
        <v>774.3</v>
      </c>
      <c r="I117" s="421"/>
      <c r="J117" s="422">
        <f t="shared" ref="J117:L117" si="18">SUM(J118:J119)</f>
        <v>989</v>
      </c>
      <c r="K117" s="423">
        <f t="shared" si="18"/>
        <v>3638100</v>
      </c>
      <c r="L117" s="424">
        <f t="shared" si="18"/>
        <v>0</v>
      </c>
      <c r="M117" s="458">
        <f>SUM(M118:M119)</f>
        <v>3507408.68</v>
      </c>
      <c r="N117" s="310">
        <f>SUM(N118:N119)</f>
        <v>130691.31999999983</v>
      </c>
      <c r="O117" s="311">
        <f>SUM(O118:O119)</f>
        <v>0</v>
      </c>
      <c r="P117" s="254"/>
      <c r="Q117" s="254"/>
      <c r="R117" s="254"/>
      <c r="S117" s="254"/>
      <c r="T117" s="254"/>
      <c r="U117" s="254"/>
      <c r="V117" s="254"/>
      <c r="W117" s="254"/>
      <c r="X117" s="254"/>
      <c r="Y117" s="254"/>
      <c r="Z117" s="254"/>
      <c r="AA117" s="254"/>
      <c r="AB117" s="254"/>
    </row>
    <row r="118" spans="1:28" ht="31.2" hidden="1" customHeight="1">
      <c r="A118" s="279"/>
      <c r="B118" s="435"/>
      <c r="C118" s="419">
        <v>244</v>
      </c>
      <c r="D118" s="443"/>
      <c r="E118" s="436" t="s">
        <v>29</v>
      </c>
      <c r="F118" s="427">
        <v>989</v>
      </c>
      <c r="G118" s="427">
        <v>896</v>
      </c>
      <c r="H118" s="427">
        <v>774.3</v>
      </c>
      <c r="I118" s="428"/>
      <c r="J118" s="422">
        <f>F118*1</f>
        <v>989</v>
      </c>
      <c r="K118" s="452">
        <v>3638100</v>
      </c>
      <c r="L118" s="437"/>
      <c r="M118" s="458">
        <v>3507408.68</v>
      </c>
      <c r="N118" s="251">
        <f>(K118-M118)</f>
        <v>130691.31999999983</v>
      </c>
      <c r="O118" s="259"/>
      <c r="P118" s="254"/>
      <c r="Q118" s="254"/>
      <c r="R118" s="254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</row>
    <row r="119" spans="1:28" ht="10.95" hidden="1" customHeight="1">
      <c r="A119" s="254"/>
      <c r="B119" s="425"/>
      <c r="C119" s="425"/>
      <c r="D119" s="443"/>
      <c r="E119" s="426" t="s">
        <v>23</v>
      </c>
      <c r="F119" s="438"/>
      <c r="G119" s="438"/>
      <c r="H119" s="438"/>
      <c r="I119" s="428"/>
      <c r="J119" s="422">
        <f>F119*1</f>
        <v>0</v>
      </c>
      <c r="K119" s="439"/>
      <c r="L119" s="440"/>
      <c r="M119" s="458"/>
      <c r="N119" s="251"/>
      <c r="O119" s="252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</row>
    <row r="120" spans="1:28" ht="14.4" hidden="1" customHeight="1">
      <c r="A120" s="254"/>
      <c r="B120" s="425"/>
      <c r="C120" s="425"/>
      <c r="D120" s="443"/>
      <c r="E120" s="426" t="s">
        <v>45</v>
      </c>
      <c r="F120" s="438"/>
      <c r="G120" s="438"/>
      <c r="H120" s="438"/>
      <c r="I120" s="428"/>
      <c r="J120" s="422"/>
      <c r="K120" s="439"/>
      <c r="L120" s="440">
        <v>0</v>
      </c>
      <c r="M120" s="458"/>
      <c r="N120" s="251"/>
      <c r="O120" s="252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</row>
    <row r="121" spans="1:28" ht="13.95" hidden="1" customHeight="1">
      <c r="A121" s="254"/>
      <c r="B121" s="434">
        <v>320</v>
      </c>
      <c r="C121" s="434"/>
      <c r="D121" s="451"/>
      <c r="E121" s="436" t="s">
        <v>24</v>
      </c>
      <c r="F121" s="438"/>
      <c r="G121" s="438"/>
      <c r="H121" s="438"/>
      <c r="I121" s="428"/>
      <c r="J121" s="422">
        <f>F121*1</f>
        <v>0</v>
      </c>
      <c r="K121" s="439"/>
      <c r="L121" s="440"/>
      <c r="M121" s="458"/>
      <c r="N121" s="251"/>
      <c r="O121" s="252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</row>
    <row r="122" spans="1:28" ht="26.4" customHeight="1">
      <c r="A122" s="254"/>
      <c r="B122" s="434"/>
      <c r="C122" s="434"/>
      <c r="D122" s="451">
        <v>340</v>
      </c>
      <c r="E122" s="436" t="s">
        <v>25</v>
      </c>
      <c r="F122" s="420">
        <f>SUM(F123:F158)</f>
        <v>1517.6999999999998</v>
      </c>
      <c r="G122" s="420">
        <f>SUM(G123:G158)</f>
        <v>1291.8</v>
      </c>
      <c r="H122" s="420">
        <f>SUM(H123:H158)</f>
        <v>1111.4200000000003</v>
      </c>
      <c r="I122" s="421"/>
      <c r="J122" s="422">
        <f t="shared" ref="J122:O122" si="19">SUM(J123:J158)</f>
        <v>1517.6999999999998</v>
      </c>
      <c r="K122" s="423">
        <f t="shared" si="19"/>
        <v>2792900</v>
      </c>
      <c r="L122" s="424">
        <f t="shared" si="19"/>
        <v>0</v>
      </c>
      <c r="M122" s="458">
        <f>SUM(M123:M158)</f>
        <v>2076439.0600000003</v>
      </c>
      <c r="N122" s="404">
        <f t="shared" si="19"/>
        <v>716460.94000000006</v>
      </c>
      <c r="O122" s="276">
        <f t="shared" si="19"/>
        <v>0</v>
      </c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</row>
    <row r="123" spans="1:28" ht="24.6" hidden="1" customHeight="1">
      <c r="A123" s="254">
        <v>68</v>
      </c>
      <c r="B123" s="419" t="s">
        <v>380</v>
      </c>
      <c r="C123" s="419">
        <v>244</v>
      </c>
      <c r="D123" s="419"/>
      <c r="E123" s="426" t="s">
        <v>109</v>
      </c>
      <c r="F123" s="438">
        <v>778</v>
      </c>
      <c r="G123" s="438">
        <v>633</v>
      </c>
      <c r="H123" s="438">
        <v>546.70000000000005</v>
      </c>
      <c r="I123" s="428"/>
      <c r="J123" s="422">
        <f>F123*1</f>
        <v>778</v>
      </c>
      <c r="K123" s="397">
        <v>1189600</v>
      </c>
      <c r="L123" s="429"/>
      <c r="M123" s="458">
        <v>883918</v>
      </c>
      <c r="N123" s="283">
        <f t="shared" ref="N123:N158" si="20">(K123-M123)</f>
        <v>305682</v>
      </c>
      <c r="O123" s="252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</row>
    <row r="124" spans="1:28" ht="25.95" hidden="1" customHeight="1">
      <c r="A124" s="254">
        <v>69</v>
      </c>
      <c r="B124" s="419" t="s">
        <v>381</v>
      </c>
      <c r="C124" s="419">
        <v>244</v>
      </c>
      <c r="D124" s="419"/>
      <c r="E124" s="426" t="s">
        <v>42</v>
      </c>
      <c r="F124" s="438"/>
      <c r="G124" s="438"/>
      <c r="H124" s="438"/>
      <c r="I124" s="428"/>
      <c r="J124" s="422"/>
      <c r="K124" s="397">
        <v>60000</v>
      </c>
      <c r="L124" s="429"/>
      <c r="M124" s="458">
        <v>46504</v>
      </c>
      <c r="N124" s="280">
        <f t="shared" si="20"/>
        <v>13496</v>
      </c>
      <c r="O124" s="252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</row>
    <row r="125" spans="1:28" ht="18" hidden="1" customHeight="1">
      <c r="A125" s="254">
        <v>70</v>
      </c>
      <c r="B125" s="419" t="s">
        <v>382</v>
      </c>
      <c r="C125" s="419">
        <v>244</v>
      </c>
      <c r="D125" s="419"/>
      <c r="E125" s="426" t="s">
        <v>114</v>
      </c>
      <c r="F125" s="438"/>
      <c r="G125" s="438"/>
      <c r="H125" s="438"/>
      <c r="I125" s="428"/>
      <c r="J125" s="422"/>
      <c r="K125" s="397">
        <v>6600</v>
      </c>
      <c r="L125" s="429"/>
      <c r="M125" s="458">
        <v>4808</v>
      </c>
      <c r="N125" s="280">
        <f t="shared" si="20"/>
        <v>1792</v>
      </c>
      <c r="O125" s="252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  <c r="AA125" s="254"/>
      <c r="AB125" s="254"/>
    </row>
    <row r="126" spans="1:28" ht="33.6" hidden="1" customHeight="1">
      <c r="A126" s="313" t="s">
        <v>182</v>
      </c>
      <c r="B126" s="419" t="s">
        <v>328</v>
      </c>
      <c r="C126" s="419">
        <v>244</v>
      </c>
      <c r="D126" s="419"/>
      <c r="E126" s="426" t="s">
        <v>115</v>
      </c>
      <c r="F126" s="438">
        <v>41.5</v>
      </c>
      <c r="G126" s="424">
        <v>27.59</v>
      </c>
      <c r="H126" s="424">
        <v>10.45</v>
      </c>
      <c r="I126" s="428"/>
      <c r="J126" s="422">
        <f>F126*1</f>
        <v>41.5</v>
      </c>
      <c r="K126" s="397">
        <f>31000+13000</f>
        <v>44000</v>
      </c>
      <c r="L126" s="429"/>
      <c r="M126" s="458">
        <v>39491.75</v>
      </c>
      <c r="N126" s="280">
        <f t="shared" si="20"/>
        <v>4508.25</v>
      </c>
      <c r="O126" s="252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  <c r="AA126" s="254"/>
      <c r="AB126" s="254"/>
    </row>
    <row r="127" spans="1:28" ht="24.6" hidden="1" customHeight="1">
      <c r="A127" s="313"/>
      <c r="B127" s="419" t="s">
        <v>329</v>
      </c>
      <c r="C127" s="419">
        <v>244</v>
      </c>
      <c r="D127" s="419"/>
      <c r="E127" s="426" t="s">
        <v>327</v>
      </c>
      <c r="F127" s="438"/>
      <c r="G127" s="424"/>
      <c r="H127" s="424"/>
      <c r="I127" s="428"/>
      <c r="J127" s="422"/>
      <c r="K127" s="397">
        <v>15000</v>
      </c>
      <c r="L127" s="429"/>
      <c r="M127" s="458">
        <v>14974.4</v>
      </c>
      <c r="N127" s="280">
        <f t="shared" si="20"/>
        <v>25.600000000000364</v>
      </c>
      <c r="O127" s="252"/>
      <c r="P127" s="254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  <c r="AA127" s="254"/>
      <c r="AB127" s="254"/>
    </row>
    <row r="128" spans="1:28" ht="35.4" hidden="1" customHeight="1">
      <c r="A128" s="313" t="s">
        <v>182</v>
      </c>
      <c r="B128" s="419" t="s">
        <v>383</v>
      </c>
      <c r="C128" s="419">
        <v>244</v>
      </c>
      <c r="D128" s="419"/>
      <c r="E128" s="426" t="s">
        <v>116</v>
      </c>
      <c r="F128" s="438"/>
      <c r="G128" s="424"/>
      <c r="H128" s="424"/>
      <c r="I128" s="428"/>
      <c r="J128" s="422"/>
      <c r="K128" s="397">
        <f>21700+10000</f>
        <v>31700</v>
      </c>
      <c r="L128" s="429"/>
      <c r="M128" s="458">
        <v>21244.99</v>
      </c>
      <c r="N128" s="280">
        <f t="shared" si="20"/>
        <v>10455.009999999998</v>
      </c>
      <c r="O128" s="252"/>
      <c r="P128" s="254"/>
      <c r="Q128" s="254"/>
      <c r="R128" s="254"/>
      <c r="S128" s="254"/>
      <c r="T128" s="254"/>
      <c r="U128" s="254"/>
      <c r="V128" s="254"/>
      <c r="W128" s="254"/>
      <c r="X128" s="254"/>
      <c r="Y128" s="254"/>
      <c r="Z128" s="254"/>
      <c r="AA128" s="254"/>
      <c r="AB128" s="254"/>
    </row>
    <row r="129" spans="1:28" ht="18" hidden="1" customHeight="1">
      <c r="A129" s="254">
        <v>39</v>
      </c>
      <c r="B129" s="419">
        <v>2101031</v>
      </c>
      <c r="C129" s="419">
        <v>244</v>
      </c>
      <c r="D129" s="419"/>
      <c r="E129" s="426" t="s">
        <v>43</v>
      </c>
      <c r="F129" s="438">
        <v>58.4</v>
      </c>
      <c r="G129" s="438">
        <v>57.1</v>
      </c>
      <c r="H129" s="438">
        <v>29.7</v>
      </c>
      <c r="I129" s="428"/>
      <c r="J129" s="422">
        <f>F129*1</f>
        <v>58.4</v>
      </c>
      <c r="K129" s="397"/>
      <c r="L129" s="429"/>
      <c r="M129" s="458"/>
      <c r="N129" s="280">
        <f t="shared" si="20"/>
        <v>0</v>
      </c>
      <c r="O129" s="252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  <c r="AA129" s="254"/>
      <c r="AB129" s="254"/>
    </row>
    <row r="130" spans="1:28" ht="22.2" hidden="1" customHeight="1">
      <c r="A130" s="254">
        <v>73</v>
      </c>
      <c r="B130" s="419" t="s">
        <v>384</v>
      </c>
      <c r="C130" s="419">
        <v>244</v>
      </c>
      <c r="D130" s="419"/>
      <c r="E130" s="426" t="s">
        <v>185</v>
      </c>
      <c r="F130" s="438"/>
      <c r="G130" s="438"/>
      <c r="H130" s="438"/>
      <c r="I130" s="428"/>
      <c r="J130" s="422"/>
      <c r="K130" s="397">
        <v>180000</v>
      </c>
      <c r="L130" s="429"/>
      <c r="M130" s="458">
        <v>130530</v>
      </c>
      <c r="N130" s="280">
        <f t="shared" si="20"/>
        <v>49470</v>
      </c>
      <c r="O130" s="252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4"/>
      <c r="AB130" s="254"/>
    </row>
    <row r="131" spans="1:28" ht="21" hidden="1" customHeight="1">
      <c r="A131" s="279">
        <v>74</v>
      </c>
      <c r="B131" s="441" t="s">
        <v>385</v>
      </c>
      <c r="C131" s="419">
        <v>244</v>
      </c>
      <c r="D131" s="441"/>
      <c r="E131" s="426" t="s">
        <v>125</v>
      </c>
      <c r="F131" s="438">
        <v>188</v>
      </c>
      <c r="G131" s="438">
        <v>169.1</v>
      </c>
      <c r="H131" s="438">
        <v>167.7</v>
      </c>
      <c r="I131" s="428"/>
      <c r="J131" s="422">
        <f>F131*1</f>
        <v>188</v>
      </c>
      <c r="K131" s="397">
        <v>268000</v>
      </c>
      <c r="L131" s="429"/>
      <c r="M131" s="458">
        <v>213040</v>
      </c>
      <c r="N131" s="280">
        <f t="shared" si="20"/>
        <v>54960</v>
      </c>
      <c r="O131" s="252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</row>
    <row r="132" spans="1:28" ht="20.399999999999999" hidden="1" customHeight="1">
      <c r="A132" s="279">
        <v>75</v>
      </c>
      <c r="B132" s="441" t="s">
        <v>386</v>
      </c>
      <c r="C132" s="419">
        <v>244</v>
      </c>
      <c r="D132" s="441"/>
      <c r="E132" s="426" t="s">
        <v>123</v>
      </c>
      <c r="F132" s="438"/>
      <c r="G132" s="438"/>
      <c r="H132" s="438"/>
      <c r="I132" s="428"/>
      <c r="J132" s="422"/>
      <c r="K132" s="397">
        <v>109000</v>
      </c>
      <c r="L132" s="429"/>
      <c r="M132" s="458">
        <v>105760</v>
      </c>
      <c r="N132" s="280">
        <f t="shared" si="20"/>
        <v>3240</v>
      </c>
      <c r="O132" s="252"/>
      <c r="P132" s="254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  <c r="AB132" s="254"/>
    </row>
    <row r="133" spans="1:28" ht="20.399999999999999" hidden="1" customHeight="1">
      <c r="A133" s="279">
        <v>76</v>
      </c>
      <c r="B133" s="419" t="s">
        <v>387</v>
      </c>
      <c r="C133" s="419">
        <v>244</v>
      </c>
      <c r="D133" s="419"/>
      <c r="E133" s="426" t="s">
        <v>73</v>
      </c>
      <c r="F133" s="438">
        <v>188</v>
      </c>
      <c r="G133" s="438">
        <v>169.1</v>
      </c>
      <c r="H133" s="438">
        <v>167.7</v>
      </c>
      <c r="I133" s="428"/>
      <c r="J133" s="422">
        <f>F133*1</f>
        <v>188</v>
      </c>
      <c r="K133" s="397">
        <v>15000</v>
      </c>
      <c r="L133" s="429"/>
      <c r="M133" s="458">
        <v>9894</v>
      </c>
      <c r="N133" s="280">
        <f t="shared" si="20"/>
        <v>5106</v>
      </c>
      <c r="O133" s="252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  <c r="AA133" s="254"/>
      <c r="AB133" s="254"/>
    </row>
    <row r="134" spans="1:28" ht="20.399999999999999" hidden="1" customHeight="1">
      <c r="A134" s="279">
        <v>77</v>
      </c>
      <c r="B134" s="419" t="s">
        <v>388</v>
      </c>
      <c r="C134" s="419">
        <v>244</v>
      </c>
      <c r="D134" s="419"/>
      <c r="E134" s="426" t="s">
        <v>118</v>
      </c>
      <c r="F134" s="438"/>
      <c r="G134" s="438"/>
      <c r="H134" s="438"/>
      <c r="I134" s="428"/>
      <c r="J134" s="422"/>
      <c r="K134" s="397">
        <v>10000</v>
      </c>
      <c r="L134" s="429"/>
      <c r="M134" s="458"/>
      <c r="N134" s="280">
        <f t="shared" si="20"/>
        <v>10000</v>
      </c>
      <c r="O134" s="252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  <c r="AA134" s="254"/>
      <c r="AB134" s="254"/>
    </row>
    <row r="135" spans="1:28" ht="43.95" hidden="1" customHeight="1">
      <c r="A135" s="254">
        <v>78</v>
      </c>
      <c r="B135" s="419" t="s">
        <v>389</v>
      </c>
      <c r="C135" s="419">
        <v>244</v>
      </c>
      <c r="D135" s="419"/>
      <c r="E135" s="426" t="s">
        <v>131</v>
      </c>
      <c r="F135" s="438">
        <v>9.3000000000000007</v>
      </c>
      <c r="G135" s="424">
        <v>13.59</v>
      </c>
      <c r="H135" s="424">
        <v>13.59</v>
      </c>
      <c r="I135" s="428"/>
      <c r="J135" s="422">
        <f>F135*1</f>
        <v>9.3000000000000007</v>
      </c>
      <c r="K135" s="397">
        <v>430500</v>
      </c>
      <c r="L135" s="429"/>
      <c r="M135" s="458">
        <v>390308</v>
      </c>
      <c r="N135" s="251">
        <f t="shared" si="20"/>
        <v>40192</v>
      </c>
      <c r="O135" s="252"/>
      <c r="P135" s="254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  <c r="AA135" s="254"/>
      <c r="AB135" s="254"/>
    </row>
    <row r="136" spans="1:28" ht="47.4" hidden="1" customHeight="1">
      <c r="A136" s="254">
        <v>79</v>
      </c>
      <c r="B136" s="419" t="s">
        <v>390</v>
      </c>
      <c r="C136" s="419">
        <v>244</v>
      </c>
      <c r="D136" s="419"/>
      <c r="E136" s="426" t="s">
        <v>193</v>
      </c>
      <c r="F136" s="438"/>
      <c r="G136" s="424"/>
      <c r="H136" s="424"/>
      <c r="I136" s="428"/>
      <c r="J136" s="422"/>
      <c r="K136" s="397">
        <v>0</v>
      </c>
      <c r="L136" s="429"/>
      <c r="M136" s="458"/>
      <c r="N136" s="251">
        <f t="shared" si="20"/>
        <v>0</v>
      </c>
      <c r="O136" s="252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</row>
    <row r="137" spans="1:28" ht="19.2" hidden="1" customHeight="1">
      <c r="A137" s="254">
        <v>80</v>
      </c>
      <c r="B137" s="419" t="s">
        <v>391</v>
      </c>
      <c r="C137" s="419">
        <v>244</v>
      </c>
      <c r="D137" s="419"/>
      <c r="E137" s="426" t="s">
        <v>132</v>
      </c>
      <c r="F137" s="438"/>
      <c r="G137" s="424"/>
      <c r="H137" s="424"/>
      <c r="I137" s="428"/>
      <c r="J137" s="422"/>
      <c r="K137" s="397">
        <v>0</v>
      </c>
      <c r="L137" s="429"/>
      <c r="M137" s="458"/>
      <c r="N137" s="251">
        <f t="shared" si="20"/>
        <v>0</v>
      </c>
      <c r="O137" s="252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</row>
    <row r="138" spans="1:28" ht="17.399999999999999" hidden="1" customHeight="1">
      <c r="A138" s="254">
        <v>81</v>
      </c>
      <c r="B138" s="419" t="s">
        <v>392</v>
      </c>
      <c r="C138" s="419">
        <v>244</v>
      </c>
      <c r="D138" s="419"/>
      <c r="E138" s="426" t="s">
        <v>110</v>
      </c>
      <c r="F138" s="438"/>
      <c r="G138" s="424"/>
      <c r="H138" s="424"/>
      <c r="I138" s="428"/>
      <c r="J138" s="422"/>
      <c r="K138" s="397">
        <v>13100</v>
      </c>
      <c r="L138" s="429"/>
      <c r="M138" s="458">
        <v>12105.3</v>
      </c>
      <c r="N138" s="251">
        <f t="shared" si="20"/>
        <v>994.70000000000073</v>
      </c>
      <c r="O138" s="252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</row>
    <row r="139" spans="1:28" ht="30" hidden="1" customHeight="1">
      <c r="A139" s="254">
        <v>82</v>
      </c>
      <c r="B139" s="419" t="s">
        <v>393</v>
      </c>
      <c r="C139" s="419">
        <v>244</v>
      </c>
      <c r="D139" s="419"/>
      <c r="E139" s="426" t="s">
        <v>127</v>
      </c>
      <c r="F139" s="438"/>
      <c r="G139" s="424"/>
      <c r="H139" s="424"/>
      <c r="I139" s="428"/>
      <c r="J139" s="422"/>
      <c r="K139" s="397">
        <v>100000</v>
      </c>
      <c r="L139" s="429"/>
      <c r="M139" s="458">
        <v>43400</v>
      </c>
      <c r="N139" s="251">
        <f t="shared" si="20"/>
        <v>56600</v>
      </c>
      <c r="O139" s="252"/>
      <c r="P139" s="254"/>
      <c r="Q139" s="254"/>
      <c r="R139" s="254"/>
      <c r="S139" s="254"/>
      <c r="T139" s="254"/>
      <c r="U139" s="254"/>
      <c r="V139" s="254"/>
      <c r="W139" s="254"/>
      <c r="X139" s="254"/>
      <c r="Y139" s="254"/>
      <c r="Z139" s="254"/>
      <c r="AA139" s="254"/>
      <c r="AB139" s="254"/>
    </row>
    <row r="140" spans="1:28" ht="22.2" hidden="1" customHeight="1">
      <c r="A140" s="279"/>
      <c r="B140" s="442"/>
      <c r="C140" s="419">
        <v>244</v>
      </c>
      <c r="D140" s="442" t="s">
        <v>264</v>
      </c>
      <c r="E140" s="426" t="s">
        <v>23</v>
      </c>
      <c r="F140" s="438">
        <v>28</v>
      </c>
      <c r="G140" s="438">
        <v>7</v>
      </c>
      <c r="H140" s="424">
        <v>4.68</v>
      </c>
      <c r="I140" s="428"/>
      <c r="J140" s="422">
        <f>F140*1</f>
        <v>28</v>
      </c>
      <c r="K140" s="397">
        <v>153100</v>
      </c>
      <c r="L140" s="429"/>
      <c r="M140" s="458">
        <v>126669.25</v>
      </c>
      <c r="N140" s="251">
        <f t="shared" si="20"/>
        <v>26430.75</v>
      </c>
      <c r="O140" s="252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</row>
    <row r="141" spans="1:28" ht="21.6" hidden="1" customHeight="1">
      <c r="A141" s="254">
        <v>88</v>
      </c>
      <c r="B141" s="419" t="s">
        <v>394</v>
      </c>
      <c r="C141" s="419">
        <v>244</v>
      </c>
      <c r="D141" s="419"/>
      <c r="E141" s="426" t="s">
        <v>304</v>
      </c>
      <c r="F141" s="438">
        <v>1.1000000000000001</v>
      </c>
      <c r="G141" s="438">
        <v>1.1000000000000001</v>
      </c>
      <c r="H141" s="438"/>
      <c r="I141" s="428"/>
      <c r="J141" s="422">
        <f>F141*1</f>
        <v>1.1000000000000001</v>
      </c>
      <c r="K141" s="397">
        <v>8000</v>
      </c>
      <c r="L141" s="429"/>
      <c r="M141" s="458"/>
      <c r="N141" s="251">
        <f t="shared" si="20"/>
        <v>8000</v>
      </c>
      <c r="O141" s="252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</row>
    <row r="142" spans="1:28" ht="15" hidden="1" customHeight="1">
      <c r="A142" s="254">
        <v>89</v>
      </c>
      <c r="B142" s="419" t="s">
        <v>198</v>
      </c>
      <c r="C142" s="419">
        <v>244</v>
      </c>
      <c r="D142" s="419"/>
      <c r="E142" s="426" t="s">
        <v>57</v>
      </c>
      <c r="F142" s="438"/>
      <c r="G142" s="438"/>
      <c r="H142" s="438"/>
      <c r="I142" s="428"/>
      <c r="J142" s="422"/>
      <c r="K142" s="397">
        <f>6000-6000</f>
        <v>0</v>
      </c>
      <c r="L142" s="429"/>
      <c r="M142" s="458"/>
      <c r="N142" s="251">
        <f t="shared" si="20"/>
        <v>0</v>
      </c>
      <c r="O142" s="252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</row>
    <row r="143" spans="1:28" ht="35.4" hidden="1" customHeight="1">
      <c r="A143" s="254">
        <v>90</v>
      </c>
      <c r="B143" s="419" t="s">
        <v>395</v>
      </c>
      <c r="C143" s="419">
        <v>244</v>
      </c>
      <c r="D143" s="419"/>
      <c r="E143" s="426" t="s">
        <v>200</v>
      </c>
      <c r="F143" s="427">
        <v>65.599999999999994</v>
      </c>
      <c r="G143" s="427">
        <v>46.42</v>
      </c>
      <c r="H143" s="427">
        <v>31.1</v>
      </c>
      <c r="I143" s="428"/>
      <c r="J143" s="422">
        <f>F143*1</f>
        <v>65.599999999999994</v>
      </c>
      <c r="K143" s="397">
        <v>83000</v>
      </c>
      <c r="L143" s="437"/>
      <c r="M143" s="458">
        <v>27607.37</v>
      </c>
      <c r="N143" s="280">
        <f t="shared" si="20"/>
        <v>55392.630000000005</v>
      </c>
      <c r="O143" s="252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</row>
    <row r="144" spans="1:28" ht="37.950000000000003" hidden="1" customHeight="1">
      <c r="A144" s="254">
        <v>91</v>
      </c>
      <c r="B144" s="419" t="s">
        <v>396</v>
      </c>
      <c r="C144" s="419">
        <v>244</v>
      </c>
      <c r="D144" s="419"/>
      <c r="E144" s="426" t="s">
        <v>103</v>
      </c>
      <c r="F144" s="427"/>
      <c r="G144" s="427"/>
      <c r="H144" s="427"/>
      <c r="I144" s="428"/>
      <c r="J144" s="422"/>
      <c r="K144" s="397">
        <v>25000</v>
      </c>
      <c r="L144" s="437"/>
      <c r="M144" s="458"/>
      <c r="N144" s="280">
        <f t="shared" si="20"/>
        <v>25000</v>
      </c>
      <c r="O144" s="252"/>
      <c r="P144" s="254"/>
      <c r="Q144" s="254"/>
      <c r="R144" s="254"/>
      <c r="S144" s="254"/>
      <c r="T144" s="254"/>
      <c r="U144" s="254"/>
      <c r="V144" s="254"/>
      <c r="W144" s="254"/>
      <c r="X144" s="254"/>
      <c r="Y144" s="254"/>
      <c r="Z144" s="254"/>
      <c r="AA144" s="254"/>
      <c r="AB144" s="254"/>
    </row>
    <row r="145" spans="1:32" ht="38.4" hidden="1" customHeight="1">
      <c r="A145" s="254">
        <v>168</v>
      </c>
      <c r="B145" s="419">
        <v>3697000</v>
      </c>
      <c r="C145" s="419">
        <v>244</v>
      </c>
      <c r="D145" s="419"/>
      <c r="E145" s="426" t="s">
        <v>104</v>
      </c>
      <c r="F145" s="427"/>
      <c r="G145" s="427"/>
      <c r="H145" s="427"/>
      <c r="I145" s="428"/>
      <c r="J145" s="422"/>
      <c r="K145" s="397"/>
      <c r="L145" s="437"/>
      <c r="M145" s="458"/>
      <c r="N145" s="280">
        <f t="shared" si="20"/>
        <v>0</v>
      </c>
      <c r="O145" s="252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</row>
    <row r="146" spans="1:32" ht="22.2" hidden="1" customHeight="1">
      <c r="A146" s="254">
        <v>92</v>
      </c>
      <c r="B146" s="419" t="s">
        <v>397</v>
      </c>
      <c r="C146" s="419">
        <v>244</v>
      </c>
      <c r="D146" s="419"/>
      <c r="E146" s="426" t="s">
        <v>119</v>
      </c>
      <c r="F146" s="427"/>
      <c r="G146" s="427"/>
      <c r="H146" s="427"/>
      <c r="I146" s="428"/>
      <c r="J146" s="422"/>
      <c r="K146" s="397">
        <v>4800</v>
      </c>
      <c r="L146" s="437"/>
      <c r="M146" s="458">
        <v>1578.6</v>
      </c>
      <c r="N146" s="280">
        <f t="shared" si="20"/>
        <v>3221.4</v>
      </c>
      <c r="O146" s="252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</row>
    <row r="147" spans="1:32" ht="28.2" hidden="1" customHeight="1">
      <c r="A147" s="254">
        <v>92</v>
      </c>
      <c r="B147" s="419" t="s">
        <v>398</v>
      </c>
      <c r="C147" s="419">
        <v>244</v>
      </c>
      <c r="D147" s="419"/>
      <c r="E147" s="426" t="s">
        <v>120</v>
      </c>
      <c r="F147" s="427"/>
      <c r="G147" s="427"/>
      <c r="H147" s="427"/>
      <c r="I147" s="428"/>
      <c r="J147" s="422"/>
      <c r="K147" s="397">
        <v>3000</v>
      </c>
      <c r="L147" s="437"/>
      <c r="M147" s="458"/>
      <c r="N147" s="280">
        <f t="shared" si="20"/>
        <v>3000</v>
      </c>
      <c r="O147" s="252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</row>
    <row r="148" spans="1:32" ht="22.2" hidden="1" customHeight="1">
      <c r="A148" s="254">
        <v>112</v>
      </c>
      <c r="B148" s="419">
        <v>2691000</v>
      </c>
      <c r="C148" s="419"/>
      <c r="D148" s="419"/>
      <c r="E148" s="426" t="s">
        <v>121</v>
      </c>
      <c r="F148" s="427"/>
      <c r="G148" s="427"/>
      <c r="H148" s="427"/>
      <c r="I148" s="428"/>
      <c r="J148" s="422"/>
      <c r="K148" s="397"/>
      <c r="L148" s="437"/>
      <c r="M148" s="458"/>
      <c r="N148" s="280">
        <f t="shared" si="20"/>
        <v>0</v>
      </c>
      <c r="O148" s="252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</row>
    <row r="149" spans="1:32" ht="33.6" hidden="1" customHeight="1">
      <c r="A149" s="254">
        <v>93</v>
      </c>
      <c r="B149" s="419" t="s">
        <v>399</v>
      </c>
      <c r="C149" s="419">
        <v>244</v>
      </c>
      <c r="D149" s="419"/>
      <c r="E149" s="426" t="s">
        <v>265</v>
      </c>
      <c r="F149" s="427"/>
      <c r="G149" s="427"/>
      <c r="H149" s="427"/>
      <c r="I149" s="428"/>
      <c r="J149" s="422"/>
      <c r="K149" s="397">
        <v>13000</v>
      </c>
      <c r="L149" s="437"/>
      <c r="M149" s="458">
        <v>2063.4</v>
      </c>
      <c r="N149" s="280">
        <f t="shared" si="20"/>
        <v>10936.6</v>
      </c>
      <c r="O149" s="252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</row>
    <row r="150" spans="1:32" ht="19.2" hidden="1" customHeight="1">
      <c r="A150" s="313" t="s">
        <v>205</v>
      </c>
      <c r="B150" s="419" t="s">
        <v>400</v>
      </c>
      <c r="C150" s="419">
        <v>244</v>
      </c>
      <c r="D150" s="419"/>
      <c r="E150" s="426" t="s">
        <v>9</v>
      </c>
      <c r="F150" s="427"/>
      <c r="G150" s="427"/>
      <c r="H150" s="427"/>
      <c r="I150" s="428"/>
      <c r="J150" s="422"/>
      <c r="K150" s="397">
        <v>21000</v>
      </c>
      <c r="L150" s="429"/>
      <c r="M150" s="458">
        <v>2200</v>
      </c>
      <c r="N150" s="280">
        <f t="shared" si="20"/>
        <v>18800</v>
      </c>
      <c r="O150" s="252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</row>
    <row r="151" spans="1:32" ht="18.75" hidden="1" customHeight="1">
      <c r="A151" s="313" t="s">
        <v>85</v>
      </c>
      <c r="B151" s="419">
        <v>3020000</v>
      </c>
      <c r="C151" s="419">
        <v>244</v>
      </c>
      <c r="D151" s="419"/>
      <c r="E151" s="426" t="s">
        <v>86</v>
      </c>
      <c r="F151" s="427">
        <v>122.6</v>
      </c>
      <c r="G151" s="427">
        <v>134.6</v>
      </c>
      <c r="H151" s="427">
        <v>134.5</v>
      </c>
      <c r="I151" s="428"/>
      <c r="J151" s="422">
        <f t="shared" ref="J151:J158" si="21">F151*1</f>
        <v>122.6</v>
      </c>
      <c r="K151" s="397"/>
      <c r="L151" s="429"/>
      <c r="M151" s="458"/>
      <c r="N151" s="280">
        <f t="shared" si="20"/>
        <v>0</v>
      </c>
      <c r="O151" s="252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</row>
    <row r="152" spans="1:32" ht="16.5" hidden="1" customHeight="1">
      <c r="A152" s="254"/>
      <c r="B152" s="419"/>
      <c r="C152" s="419">
        <v>244</v>
      </c>
      <c r="D152" s="419"/>
      <c r="E152" s="426" t="s">
        <v>6</v>
      </c>
      <c r="F152" s="427"/>
      <c r="G152" s="427"/>
      <c r="H152" s="427"/>
      <c r="I152" s="428"/>
      <c r="J152" s="422">
        <f t="shared" si="21"/>
        <v>0</v>
      </c>
      <c r="K152" s="397"/>
      <c r="L152" s="429"/>
      <c r="M152" s="458"/>
      <c r="N152" s="251">
        <f t="shared" si="20"/>
        <v>0</v>
      </c>
      <c r="O152" s="252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</row>
    <row r="153" spans="1:32" ht="21.6" hidden="1" customHeight="1">
      <c r="A153" s="254">
        <v>95</v>
      </c>
      <c r="B153" s="419" t="s">
        <v>401</v>
      </c>
      <c r="C153" s="419">
        <v>244</v>
      </c>
      <c r="D153" s="419"/>
      <c r="E153" s="443" t="s">
        <v>133</v>
      </c>
      <c r="F153" s="427">
        <v>26.2</v>
      </c>
      <c r="G153" s="427">
        <v>26.2</v>
      </c>
      <c r="H153" s="427">
        <v>3.6</v>
      </c>
      <c r="I153" s="428"/>
      <c r="J153" s="422">
        <f t="shared" si="21"/>
        <v>26.2</v>
      </c>
      <c r="K153" s="397">
        <v>1000</v>
      </c>
      <c r="L153" s="429"/>
      <c r="M153" s="458">
        <v>342</v>
      </c>
      <c r="N153" s="251">
        <f t="shared" si="20"/>
        <v>658</v>
      </c>
      <c r="O153" s="252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</row>
    <row r="154" spans="1:32" ht="14.4" hidden="1" customHeight="1">
      <c r="A154" s="254"/>
      <c r="B154" s="419"/>
      <c r="C154" s="419">
        <v>244</v>
      </c>
      <c r="D154" s="419"/>
      <c r="E154" s="426" t="s">
        <v>26</v>
      </c>
      <c r="F154" s="427"/>
      <c r="G154" s="427"/>
      <c r="H154" s="427"/>
      <c r="I154" s="428"/>
      <c r="J154" s="422">
        <f t="shared" si="21"/>
        <v>0</v>
      </c>
      <c r="K154" s="397"/>
      <c r="L154" s="440"/>
      <c r="M154" s="458"/>
      <c r="N154" s="251">
        <f t="shared" si="20"/>
        <v>0</v>
      </c>
      <c r="O154" s="252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</row>
    <row r="155" spans="1:32" ht="12.6" hidden="1" customHeight="1">
      <c r="A155" s="254"/>
      <c r="B155" s="419"/>
      <c r="C155" s="419">
        <v>244</v>
      </c>
      <c r="D155" s="419"/>
      <c r="E155" s="426" t="s">
        <v>27</v>
      </c>
      <c r="F155" s="427">
        <v>5</v>
      </c>
      <c r="G155" s="427">
        <v>5</v>
      </c>
      <c r="H155" s="427">
        <v>1.7</v>
      </c>
      <c r="I155" s="428"/>
      <c r="J155" s="422">
        <f t="shared" si="21"/>
        <v>5</v>
      </c>
      <c r="K155" s="397"/>
      <c r="L155" s="429"/>
      <c r="M155" s="458"/>
      <c r="N155" s="251">
        <f t="shared" si="20"/>
        <v>0</v>
      </c>
      <c r="O155" s="252"/>
      <c r="P155" s="254"/>
      <c r="Q155" s="254"/>
      <c r="R155" s="254"/>
      <c r="S155" s="254"/>
      <c r="T155" s="254"/>
      <c r="U155" s="254"/>
      <c r="V155" s="254"/>
      <c r="W155" s="254"/>
      <c r="X155" s="254"/>
      <c r="Y155" s="254"/>
      <c r="Z155" s="254"/>
      <c r="AA155" s="254"/>
      <c r="AB155" s="254"/>
    </row>
    <row r="156" spans="1:32" ht="16.2" hidden="1" customHeight="1">
      <c r="A156" s="254"/>
      <c r="B156" s="419"/>
      <c r="C156" s="419">
        <v>244</v>
      </c>
      <c r="D156" s="419"/>
      <c r="E156" s="426" t="s">
        <v>88</v>
      </c>
      <c r="F156" s="427">
        <v>2.2000000000000002</v>
      </c>
      <c r="G156" s="427">
        <v>0.2</v>
      </c>
      <c r="H156" s="427"/>
      <c r="I156" s="428"/>
      <c r="J156" s="422">
        <f t="shared" si="21"/>
        <v>2.2000000000000002</v>
      </c>
      <c r="K156" s="397"/>
      <c r="L156" s="429"/>
      <c r="M156" s="458"/>
      <c r="N156" s="251">
        <f t="shared" si="20"/>
        <v>0</v>
      </c>
      <c r="O156" s="252"/>
      <c r="P156" s="254"/>
      <c r="Q156" s="254"/>
      <c r="R156" s="254"/>
      <c r="S156" s="254"/>
      <c r="T156" s="254"/>
      <c r="U156" s="254"/>
      <c r="V156" s="254"/>
      <c r="W156" s="254"/>
      <c r="X156" s="254"/>
      <c r="Y156" s="254"/>
      <c r="Z156" s="254"/>
      <c r="AA156" s="254"/>
      <c r="AB156" s="254"/>
    </row>
    <row r="157" spans="1:32" ht="23.4" hidden="1" customHeight="1">
      <c r="A157" s="254">
        <v>96</v>
      </c>
      <c r="B157" s="419" t="s">
        <v>402</v>
      </c>
      <c r="C157" s="419">
        <v>244</v>
      </c>
      <c r="D157" s="419"/>
      <c r="E157" s="426" t="s">
        <v>64</v>
      </c>
      <c r="F157" s="427">
        <v>2.5</v>
      </c>
      <c r="G157" s="427">
        <v>0.5</v>
      </c>
      <c r="H157" s="427"/>
      <c r="I157" s="428"/>
      <c r="J157" s="422">
        <f t="shared" si="21"/>
        <v>2.5</v>
      </c>
      <c r="K157" s="397">
        <v>8000</v>
      </c>
      <c r="L157" s="429"/>
      <c r="M157" s="458"/>
      <c r="N157" s="251">
        <f t="shared" si="20"/>
        <v>8000</v>
      </c>
      <c r="O157" s="252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</row>
    <row r="158" spans="1:32" ht="21.6" hidden="1" customHeight="1">
      <c r="A158" s="254">
        <v>97</v>
      </c>
      <c r="B158" s="419" t="s">
        <v>403</v>
      </c>
      <c r="C158" s="419">
        <v>244</v>
      </c>
      <c r="D158" s="419"/>
      <c r="E158" s="426" t="s">
        <v>72</v>
      </c>
      <c r="F158" s="427">
        <v>1.3</v>
      </c>
      <c r="G158" s="427">
        <v>1.3</v>
      </c>
      <c r="H158" s="427"/>
      <c r="I158" s="428"/>
      <c r="J158" s="422">
        <f t="shared" si="21"/>
        <v>1.3</v>
      </c>
      <c r="K158" s="397">
        <v>500</v>
      </c>
      <c r="L158" s="429"/>
      <c r="M158" s="458"/>
      <c r="N158" s="251">
        <f t="shared" si="20"/>
        <v>500</v>
      </c>
      <c r="O158" s="252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</row>
    <row r="159" spans="1:32" ht="33" customHeight="1">
      <c r="A159" s="254"/>
      <c r="B159" s="444"/>
      <c r="C159" s="445"/>
      <c r="D159" s="466"/>
      <c r="E159" s="444" t="s">
        <v>419</v>
      </c>
      <c r="F159" s="446">
        <f>F116+F105+F12+F7</f>
        <v>23572.5</v>
      </c>
      <c r="G159" s="446">
        <f>G116+G105+G12+G7</f>
        <v>22627.1</v>
      </c>
      <c r="H159" s="446">
        <f>H116+H105+H12+H7</f>
        <v>20087.849999999999</v>
      </c>
      <c r="I159" s="447"/>
      <c r="J159" s="448">
        <f t="shared" ref="J159:AB159" si="22">J116+J105+J12+J7</f>
        <v>26714.1368</v>
      </c>
      <c r="K159" s="449">
        <f t="shared" si="22"/>
        <v>49224924</v>
      </c>
      <c r="L159" s="450">
        <f t="shared" si="22"/>
        <v>0</v>
      </c>
      <c r="M159" s="449">
        <f t="shared" si="22"/>
        <v>43886944.07</v>
      </c>
      <c r="N159" s="314">
        <f t="shared" si="22"/>
        <v>5314269.93</v>
      </c>
      <c r="O159" s="314">
        <f t="shared" si="22"/>
        <v>2010</v>
      </c>
      <c r="P159" s="314">
        <f t="shared" si="22"/>
        <v>0</v>
      </c>
      <c r="Q159" s="314">
        <f t="shared" si="22"/>
        <v>0</v>
      </c>
      <c r="R159" s="314">
        <f t="shared" si="22"/>
        <v>0</v>
      </c>
      <c r="S159" s="314">
        <f t="shared" si="22"/>
        <v>0</v>
      </c>
      <c r="T159" s="314">
        <f t="shared" si="22"/>
        <v>0</v>
      </c>
      <c r="U159" s="314">
        <f t="shared" si="22"/>
        <v>0</v>
      </c>
      <c r="V159" s="314">
        <f t="shared" si="22"/>
        <v>0</v>
      </c>
      <c r="W159" s="314">
        <f t="shared" si="22"/>
        <v>0</v>
      </c>
      <c r="X159" s="314">
        <f t="shared" si="22"/>
        <v>0</v>
      </c>
      <c r="Y159" s="314">
        <f t="shared" si="22"/>
        <v>0</v>
      </c>
      <c r="Z159" s="314">
        <f t="shared" si="22"/>
        <v>0</v>
      </c>
      <c r="AA159" s="314">
        <f t="shared" si="22"/>
        <v>0</v>
      </c>
      <c r="AB159" s="314">
        <f t="shared" si="22"/>
        <v>0</v>
      </c>
      <c r="AD159" s="315"/>
      <c r="AE159" s="316"/>
    </row>
    <row r="160" spans="1:32" ht="28.2" hidden="1" customHeight="1">
      <c r="A160" s="254"/>
      <c r="B160" s="317"/>
      <c r="C160" s="317"/>
      <c r="D160" s="317"/>
      <c r="E160" s="215" t="s">
        <v>106</v>
      </c>
      <c r="F160" s="254">
        <v>1.3</v>
      </c>
      <c r="G160" s="254">
        <v>1.3</v>
      </c>
      <c r="H160" s="254"/>
      <c r="I160" s="258"/>
      <c r="J160" s="247">
        <f>F160*1</f>
        <v>1.3</v>
      </c>
      <c r="K160" s="318"/>
      <c r="L160" s="319"/>
      <c r="M160" s="459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  <c r="AA160" s="318"/>
      <c r="AB160" s="318"/>
      <c r="AC160" s="316"/>
      <c r="AD160" s="315"/>
      <c r="AE160" s="316"/>
      <c r="AF160" s="316"/>
    </row>
    <row r="161" spans="1:31" ht="33.6" hidden="1" customHeight="1">
      <c r="A161" s="254"/>
      <c r="B161" s="320" t="s">
        <v>314</v>
      </c>
      <c r="C161" s="321">
        <v>244</v>
      </c>
      <c r="D161" s="322" t="s">
        <v>241</v>
      </c>
      <c r="E161" s="323" t="s">
        <v>75</v>
      </c>
      <c r="F161" s="324"/>
      <c r="G161" s="324"/>
      <c r="H161" s="324"/>
      <c r="I161" s="325"/>
      <c r="J161" s="326"/>
      <c r="K161" s="397">
        <v>1354237294.27</v>
      </c>
      <c r="L161" s="312"/>
      <c r="M161" s="460">
        <v>1116396121.01</v>
      </c>
      <c r="N161" s="248">
        <f>SUM(N162:N174)</f>
        <v>372070667.06</v>
      </c>
      <c r="O161" s="327">
        <f t="shared" ref="O161:AA161" si="23">SUM(O162:O174)</f>
        <v>0</v>
      </c>
      <c r="P161" s="327">
        <f t="shared" si="23"/>
        <v>0</v>
      </c>
      <c r="Q161" s="328">
        <f t="shared" si="23"/>
        <v>0</v>
      </c>
      <c r="R161" s="328">
        <f t="shared" si="23"/>
        <v>0</v>
      </c>
      <c r="S161" s="328">
        <f t="shared" si="23"/>
        <v>0</v>
      </c>
      <c r="T161" s="328">
        <f t="shared" si="23"/>
        <v>0</v>
      </c>
      <c r="U161" s="328">
        <f t="shared" si="23"/>
        <v>0</v>
      </c>
      <c r="V161" s="328">
        <f t="shared" si="23"/>
        <v>0</v>
      </c>
      <c r="W161" s="328">
        <f t="shared" si="23"/>
        <v>0</v>
      </c>
      <c r="X161" s="328">
        <f t="shared" si="23"/>
        <v>0</v>
      </c>
      <c r="Y161" s="328">
        <f t="shared" si="23"/>
        <v>0</v>
      </c>
      <c r="Z161" s="328">
        <f t="shared" si="23"/>
        <v>0</v>
      </c>
      <c r="AA161" s="328">
        <f t="shared" si="23"/>
        <v>0</v>
      </c>
      <c r="AB161" s="328"/>
      <c r="AC161" s="316"/>
      <c r="AD161" s="315"/>
      <c r="AE161" s="316"/>
    </row>
    <row r="162" spans="1:31" ht="30" hidden="1" customHeight="1">
      <c r="A162" s="254"/>
      <c r="B162" s="329">
        <v>1310004300</v>
      </c>
      <c r="C162" s="281">
        <v>244</v>
      </c>
      <c r="D162" s="330" t="s">
        <v>241</v>
      </c>
      <c r="E162" s="331" t="s">
        <v>313</v>
      </c>
      <c r="F162" s="254"/>
      <c r="G162" s="254"/>
      <c r="H162" s="254"/>
      <c r="I162" s="258"/>
      <c r="J162" s="247"/>
      <c r="K162" s="397">
        <v>120280000</v>
      </c>
      <c r="L162" s="294"/>
      <c r="M162" s="458">
        <v>115435342.94</v>
      </c>
      <c r="N162" s="251">
        <f t="shared" ref="N162:N189" si="24">K162-M162</f>
        <v>4844657.0600000024</v>
      </c>
      <c r="O162" s="252"/>
      <c r="P162" s="332"/>
      <c r="Q162" s="251"/>
      <c r="R162" s="251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3"/>
      <c r="AC162" s="316"/>
      <c r="AD162" s="315"/>
      <c r="AE162" s="316"/>
    </row>
    <row r="163" spans="1:31" ht="24" hidden="1" customHeight="1">
      <c r="A163" s="254"/>
      <c r="B163" s="334"/>
      <c r="C163" s="281">
        <v>244</v>
      </c>
      <c r="D163" s="334"/>
      <c r="E163" s="331" t="s">
        <v>250</v>
      </c>
      <c r="F163" s="254"/>
      <c r="G163" s="254"/>
      <c r="H163" s="254"/>
      <c r="I163" s="258"/>
      <c r="J163" s="247"/>
      <c r="K163" s="397">
        <v>49744604.109999999</v>
      </c>
      <c r="L163" s="294"/>
      <c r="M163" s="458"/>
      <c r="N163" s="251">
        <f t="shared" si="24"/>
        <v>49744604.109999999</v>
      </c>
      <c r="O163" s="252"/>
      <c r="P163" s="332"/>
      <c r="Q163" s="251"/>
      <c r="R163" s="251"/>
      <c r="S163" s="332"/>
      <c r="T163" s="332"/>
      <c r="U163" s="332"/>
      <c r="V163" s="332"/>
      <c r="W163" s="332"/>
      <c r="X163" s="332"/>
      <c r="Y163" s="332"/>
      <c r="Z163" s="332"/>
      <c r="AA163" s="332"/>
      <c r="AB163" s="333"/>
      <c r="AC163" s="316"/>
      <c r="AD163" s="315"/>
      <c r="AE163" s="316"/>
    </row>
    <row r="164" spans="1:31" ht="23.4" hidden="1" customHeight="1">
      <c r="A164" s="254"/>
      <c r="B164" s="334"/>
      <c r="C164" s="281">
        <v>244</v>
      </c>
      <c r="D164" s="334"/>
      <c r="E164" s="331" t="s">
        <v>96</v>
      </c>
      <c r="F164" s="254">
        <v>1.6</v>
      </c>
      <c r="G164" s="254">
        <v>1.6</v>
      </c>
      <c r="H164" s="254">
        <v>0.6</v>
      </c>
      <c r="I164" s="258"/>
      <c r="J164" s="247">
        <f>F164*1</f>
        <v>1.6</v>
      </c>
      <c r="K164" s="398">
        <f>339317.8+12599370.78</f>
        <v>12938688.58</v>
      </c>
      <c r="L164" s="294"/>
      <c r="M164" s="458"/>
      <c r="N164" s="251">
        <f t="shared" si="24"/>
        <v>12938688.58</v>
      </c>
      <c r="O164" s="252"/>
      <c r="P164" s="335"/>
      <c r="Q164" s="251"/>
      <c r="R164" s="332"/>
      <c r="S164" s="251"/>
      <c r="T164" s="251"/>
      <c r="U164" s="251"/>
      <c r="V164" s="251"/>
      <c r="W164" s="251"/>
      <c r="X164" s="251"/>
      <c r="Y164" s="251"/>
      <c r="Z164" s="251"/>
      <c r="AA164" s="251"/>
      <c r="AB164" s="333"/>
      <c r="AC164" s="316"/>
      <c r="AD164" s="315"/>
      <c r="AE164" s="316"/>
    </row>
    <row r="165" spans="1:31" ht="19.2" hidden="1" customHeight="1">
      <c r="A165" s="254"/>
      <c r="B165" s="334"/>
      <c r="C165" s="281">
        <v>244</v>
      </c>
      <c r="D165" s="334"/>
      <c r="E165" s="331" t="s">
        <v>130</v>
      </c>
      <c r="F165" s="254"/>
      <c r="G165" s="254"/>
      <c r="H165" s="254"/>
      <c r="I165" s="258"/>
      <c r="J165" s="312"/>
      <c r="K165" s="397">
        <v>20276249</v>
      </c>
      <c r="L165" s="294"/>
      <c r="M165" s="458"/>
      <c r="N165" s="251">
        <f t="shared" si="24"/>
        <v>20276249</v>
      </c>
      <c r="O165" s="252"/>
      <c r="P165" s="335"/>
      <c r="Q165" s="251"/>
      <c r="R165" s="332"/>
      <c r="S165" s="251"/>
      <c r="T165" s="251"/>
      <c r="U165" s="251"/>
      <c r="V165" s="251"/>
      <c r="W165" s="251"/>
      <c r="X165" s="251"/>
      <c r="Y165" s="251"/>
      <c r="Z165" s="251"/>
      <c r="AA165" s="251"/>
      <c r="AB165" s="333"/>
      <c r="AC165" s="316"/>
      <c r="AD165" s="315"/>
      <c r="AE165" s="316"/>
    </row>
    <row r="166" spans="1:31" ht="34.950000000000003" hidden="1" customHeight="1">
      <c r="A166" s="254"/>
      <c r="B166" s="321"/>
      <c r="C166" s="281">
        <v>244</v>
      </c>
      <c r="D166" s="321"/>
      <c r="E166" s="331" t="s">
        <v>247</v>
      </c>
      <c r="F166" s="254"/>
      <c r="G166" s="254"/>
      <c r="H166" s="254"/>
      <c r="I166" s="258"/>
      <c r="J166" s="312"/>
      <c r="K166" s="397">
        <v>3607213.3</v>
      </c>
      <c r="L166" s="294"/>
      <c r="M166" s="458"/>
      <c r="N166" s="251">
        <f t="shared" si="24"/>
        <v>3607213.3</v>
      </c>
      <c r="O166" s="252"/>
      <c r="P166" s="335"/>
      <c r="Q166" s="251"/>
      <c r="R166" s="332"/>
      <c r="S166" s="251"/>
      <c r="T166" s="251"/>
      <c r="U166" s="251"/>
      <c r="V166" s="251"/>
      <c r="W166" s="251"/>
      <c r="X166" s="251"/>
      <c r="Y166" s="251"/>
      <c r="Z166" s="251"/>
      <c r="AA166" s="251"/>
      <c r="AB166" s="333"/>
      <c r="AC166" s="316"/>
      <c r="AD166" s="315"/>
      <c r="AE166" s="316"/>
    </row>
    <row r="167" spans="1:31" ht="31.95" hidden="1" customHeight="1">
      <c r="A167" s="254"/>
      <c r="B167" s="321"/>
      <c r="C167" s="281">
        <v>244</v>
      </c>
      <c r="D167" s="321"/>
      <c r="E167" s="331" t="s">
        <v>272</v>
      </c>
      <c r="F167" s="254"/>
      <c r="G167" s="254"/>
      <c r="H167" s="254"/>
      <c r="I167" s="258"/>
      <c r="J167" s="312"/>
      <c r="K167" s="397">
        <f>138771271.25+125564562.62</f>
        <v>264335833.87</v>
      </c>
      <c r="L167" s="294"/>
      <c r="M167" s="458"/>
      <c r="N167" s="251">
        <f t="shared" si="24"/>
        <v>264335833.87</v>
      </c>
      <c r="O167" s="252"/>
      <c r="P167" s="335"/>
      <c r="Q167" s="251"/>
      <c r="R167" s="332"/>
      <c r="S167" s="251"/>
      <c r="T167" s="251"/>
      <c r="U167" s="251"/>
      <c r="V167" s="251"/>
      <c r="W167" s="251"/>
      <c r="X167" s="251"/>
      <c r="Y167" s="251"/>
      <c r="Z167" s="251"/>
      <c r="AA167" s="251"/>
      <c r="AB167" s="333"/>
      <c r="AC167" s="316"/>
      <c r="AD167" s="315"/>
      <c r="AE167" s="316"/>
    </row>
    <row r="168" spans="1:31" ht="21" hidden="1" customHeight="1">
      <c r="A168" s="254"/>
      <c r="B168" s="321"/>
      <c r="C168" s="281">
        <v>244</v>
      </c>
      <c r="D168" s="321"/>
      <c r="E168" s="331" t="s">
        <v>128</v>
      </c>
      <c r="F168" s="254"/>
      <c r="G168" s="254"/>
      <c r="H168" s="254"/>
      <c r="I168" s="258"/>
      <c r="J168" s="312"/>
      <c r="K168" s="397">
        <v>86.3</v>
      </c>
      <c r="L168" s="294"/>
      <c r="M168" s="458"/>
      <c r="N168" s="251">
        <f t="shared" si="24"/>
        <v>86.3</v>
      </c>
      <c r="O168" s="252"/>
      <c r="P168" s="335"/>
      <c r="Q168" s="251"/>
      <c r="R168" s="332"/>
      <c r="S168" s="251"/>
      <c r="T168" s="251"/>
      <c r="U168" s="251"/>
      <c r="V168" s="251"/>
      <c r="W168" s="251"/>
      <c r="X168" s="251"/>
      <c r="Y168" s="251"/>
      <c r="Z168" s="251"/>
      <c r="AA168" s="251"/>
      <c r="AB168" s="333"/>
      <c r="AC168" s="316"/>
      <c r="AD168" s="315"/>
      <c r="AE168" s="316"/>
    </row>
    <row r="169" spans="1:31" ht="21" hidden="1" customHeight="1">
      <c r="A169" s="254"/>
      <c r="B169" s="321"/>
      <c r="C169" s="281">
        <v>244</v>
      </c>
      <c r="D169" s="321"/>
      <c r="E169" s="331" t="s">
        <v>281</v>
      </c>
      <c r="F169" s="254"/>
      <c r="G169" s="254"/>
      <c r="H169" s="254"/>
      <c r="I169" s="258"/>
      <c r="J169" s="312"/>
      <c r="K169" s="397">
        <f>197827+189756</f>
        <v>387583</v>
      </c>
      <c r="L169" s="294"/>
      <c r="M169" s="458"/>
      <c r="N169" s="251">
        <f t="shared" si="24"/>
        <v>387583</v>
      </c>
      <c r="O169" s="252"/>
      <c r="P169" s="335"/>
      <c r="Q169" s="251"/>
      <c r="R169" s="332"/>
      <c r="S169" s="251"/>
      <c r="T169" s="251"/>
      <c r="U169" s="251"/>
      <c r="V169" s="251"/>
      <c r="W169" s="251"/>
      <c r="X169" s="251"/>
      <c r="Y169" s="251"/>
      <c r="Z169" s="251"/>
      <c r="AA169" s="251"/>
      <c r="AB169" s="333"/>
      <c r="AC169" s="316"/>
      <c r="AD169" s="315"/>
      <c r="AE169" s="316"/>
    </row>
    <row r="170" spans="1:31" ht="30" hidden="1" customHeight="1">
      <c r="A170" s="254"/>
      <c r="B170" s="321"/>
      <c r="C170" s="281">
        <v>244</v>
      </c>
      <c r="D170" s="321"/>
      <c r="E170" s="331" t="s">
        <v>276</v>
      </c>
      <c r="F170" s="254"/>
      <c r="G170" s="254"/>
      <c r="H170" s="254"/>
      <c r="I170" s="258"/>
      <c r="J170" s="312"/>
      <c r="K170" s="397">
        <v>298425</v>
      </c>
      <c r="L170" s="294"/>
      <c r="M170" s="458"/>
      <c r="N170" s="251">
        <f t="shared" si="24"/>
        <v>298425</v>
      </c>
      <c r="O170" s="252"/>
      <c r="P170" s="335"/>
      <c r="Q170" s="251"/>
      <c r="R170" s="332"/>
      <c r="S170" s="251"/>
      <c r="T170" s="251"/>
      <c r="U170" s="251"/>
      <c r="V170" s="251"/>
      <c r="W170" s="251"/>
      <c r="X170" s="251"/>
      <c r="Y170" s="251"/>
      <c r="Z170" s="251"/>
      <c r="AA170" s="251"/>
      <c r="AB170" s="333"/>
      <c r="AC170" s="316"/>
      <c r="AD170" s="315"/>
      <c r="AE170" s="316"/>
    </row>
    <row r="171" spans="1:31" ht="25.2" hidden="1" customHeight="1">
      <c r="A171" s="254"/>
      <c r="B171" s="321"/>
      <c r="C171" s="281">
        <v>244</v>
      </c>
      <c r="D171" s="321"/>
      <c r="E171" s="331" t="s">
        <v>280</v>
      </c>
      <c r="F171" s="254"/>
      <c r="G171" s="254"/>
      <c r="H171" s="254"/>
      <c r="I171" s="258"/>
      <c r="J171" s="312"/>
      <c r="K171" s="397">
        <f>1416307.7+99581+13333187.14</f>
        <v>14849075.84</v>
      </c>
      <c r="L171" s="294"/>
      <c r="M171" s="458"/>
      <c r="N171" s="251">
        <f t="shared" si="24"/>
        <v>14849075.84</v>
      </c>
      <c r="O171" s="252"/>
      <c r="P171" s="335"/>
      <c r="Q171" s="251"/>
      <c r="R171" s="332"/>
      <c r="S171" s="251"/>
      <c r="T171" s="251"/>
      <c r="U171" s="251"/>
      <c r="V171" s="251"/>
      <c r="W171" s="251"/>
      <c r="X171" s="251"/>
      <c r="Y171" s="251"/>
      <c r="Z171" s="251"/>
      <c r="AA171" s="251"/>
      <c r="AB171" s="333"/>
      <c r="AC171" s="316"/>
      <c r="AD171" s="315"/>
      <c r="AE171" s="316"/>
    </row>
    <row r="172" spans="1:31" ht="25.2" hidden="1" customHeight="1">
      <c r="A172" s="254"/>
      <c r="B172" s="321"/>
      <c r="C172" s="281">
        <v>244</v>
      </c>
      <c r="D172" s="321"/>
      <c r="E172" s="331" t="s">
        <v>285</v>
      </c>
      <c r="F172" s="254"/>
      <c r="G172" s="254"/>
      <c r="H172" s="254"/>
      <c r="I172" s="258"/>
      <c r="J172" s="312"/>
      <c r="K172" s="397">
        <v>191369</v>
      </c>
      <c r="L172" s="294"/>
      <c r="M172" s="458"/>
      <c r="N172" s="251">
        <f t="shared" si="24"/>
        <v>191369</v>
      </c>
      <c r="O172" s="252"/>
      <c r="P172" s="335"/>
      <c r="Q172" s="251"/>
      <c r="R172" s="332"/>
      <c r="S172" s="251"/>
      <c r="T172" s="251"/>
      <c r="U172" s="251"/>
      <c r="V172" s="251"/>
      <c r="W172" s="251"/>
      <c r="X172" s="251"/>
      <c r="Y172" s="251"/>
      <c r="Z172" s="251"/>
      <c r="AA172" s="251"/>
      <c r="AB172" s="333"/>
      <c r="AC172" s="316"/>
      <c r="AD172" s="315"/>
      <c r="AE172" s="316"/>
    </row>
    <row r="173" spans="1:31" ht="25.2" hidden="1" customHeight="1">
      <c r="A173" s="254"/>
      <c r="B173" s="321"/>
      <c r="C173" s="281"/>
      <c r="D173" s="321"/>
      <c r="E173" s="331" t="s">
        <v>286</v>
      </c>
      <c r="F173" s="254"/>
      <c r="G173" s="254"/>
      <c r="H173" s="254"/>
      <c r="I173" s="258"/>
      <c r="J173" s="312"/>
      <c r="K173" s="397">
        <v>299465</v>
      </c>
      <c r="L173" s="294"/>
      <c r="M173" s="458"/>
      <c r="N173" s="251">
        <f t="shared" si="24"/>
        <v>299465</v>
      </c>
      <c r="O173" s="252"/>
      <c r="P173" s="335"/>
      <c r="Q173" s="251"/>
      <c r="R173" s="332"/>
      <c r="S173" s="251"/>
      <c r="T173" s="251"/>
      <c r="U173" s="251"/>
      <c r="V173" s="251"/>
      <c r="W173" s="251"/>
      <c r="X173" s="251"/>
      <c r="Y173" s="251"/>
      <c r="Z173" s="251"/>
      <c r="AA173" s="251"/>
      <c r="AB173" s="333"/>
      <c r="AC173" s="316"/>
      <c r="AD173" s="315"/>
      <c r="AE173" s="316"/>
    </row>
    <row r="174" spans="1:31" ht="19.2" hidden="1" customHeight="1">
      <c r="A174" s="254"/>
      <c r="B174" s="321"/>
      <c r="C174" s="281">
        <v>244</v>
      </c>
      <c r="D174" s="321"/>
      <c r="E174" s="331" t="s">
        <v>282</v>
      </c>
      <c r="F174" s="254"/>
      <c r="G174" s="254"/>
      <c r="H174" s="254"/>
      <c r="I174" s="258"/>
      <c r="J174" s="312"/>
      <c r="K174" s="397">
        <v>297417</v>
      </c>
      <c r="L174" s="294"/>
      <c r="M174" s="458"/>
      <c r="N174" s="251">
        <f t="shared" si="24"/>
        <v>297417</v>
      </c>
      <c r="O174" s="252"/>
      <c r="P174" s="335"/>
      <c r="Q174" s="251"/>
      <c r="R174" s="332"/>
      <c r="S174" s="251"/>
      <c r="T174" s="251"/>
      <c r="U174" s="251"/>
      <c r="V174" s="251"/>
      <c r="W174" s="251"/>
      <c r="X174" s="251"/>
      <c r="Y174" s="251"/>
      <c r="Z174" s="251"/>
      <c r="AA174" s="251"/>
      <c r="AB174" s="333"/>
      <c r="AC174" s="316"/>
      <c r="AD174" s="315"/>
      <c r="AE174" s="316"/>
    </row>
    <row r="175" spans="1:31" ht="40.950000000000003" hidden="1" customHeight="1">
      <c r="A175" s="254"/>
      <c r="B175" s="321">
        <v>1305390</v>
      </c>
      <c r="C175" s="321">
        <v>244</v>
      </c>
      <c r="D175" s="321">
        <v>225</v>
      </c>
      <c r="E175" s="336" t="s">
        <v>251</v>
      </c>
      <c r="F175" s="324"/>
      <c r="G175" s="324"/>
      <c r="H175" s="324"/>
      <c r="I175" s="325"/>
      <c r="J175" s="337"/>
      <c r="K175" s="397">
        <f>SUM(K176:K179)</f>
        <v>61982185.729999997</v>
      </c>
      <c r="L175" s="337"/>
      <c r="M175" s="461">
        <f>SUM(M176:M179)</f>
        <v>37616746</v>
      </c>
      <c r="N175" s="339">
        <f t="shared" si="24"/>
        <v>24365439.729999997</v>
      </c>
      <c r="O175" s="338"/>
      <c r="P175" s="340"/>
      <c r="Q175" s="339"/>
      <c r="R175" s="338">
        <f>SUM(R176:R179)</f>
        <v>0</v>
      </c>
      <c r="S175" s="338">
        <f>SUM(S176:S179)</f>
        <v>0</v>
      </c>
      <c r="T175" s="338">
        <f>SUM(T176:T179)</f>
        <v>0</v>
      </c>
      <c r="U175" s="338">
        <f>SUM(U176:U179)</f>
        <v>0</v>
      </c>
      <c r="V175" s="339"/>
      <c r="W175" s="339"/>
      <c r="X175" s="339"/>
      <c r="Y175" s="341"/>
      <c r="Z175" s="341"/>
      <c r="AA175" s="341"/>
      <c r="AB175" s="333"/>
      <c r="AC175" s="316"/>
      <c r="AD175" s="315"/>
      <c r="AE175" s="316"/>
    </row>
    <row r="176" spans="1:31" ht="22.95" hidden="1" customHeight="1">
      <c r="A176" s="254"/>
      <c r="B176" s="321"/>
      <c r="C176" s="281">
        <v>244</v>
      </c>
      <c r="D176" s="321"/>
      <c r="E176" s="331" t="s">
        <v>130</v>
      </c>
      <c r="F176" s="254"/>
      <c r="G176" s="254"/>
      <c r="H176" s="254"/>
      <c r="I176" s="258"/>
      <c r="J176" s="312"/>
      <c r="K176" s="397"/>
      <c r="L176" s="294"/>
      <c r="M176" s="458"/>
      <c r="N176" s="251">
        <f t="shared" si="24"/>
        <v>0</v>
      </c>
      <c r="O176" s="252"/>
      <c r="P176" s="335"/>
      <c r="Q176" s="251"/>
      <c r="R176" s="332"/>
      <c r="S176" s="251"/>
      <c r="T176" s="251"/>
      <c r="U176" s="251"/>
      <c r="V176" s="251"/>
      <c r="W176" s="251"/>
      <c r="X176" s="251"/>
      <c r="Y176" s="251"/>
      <c r="Z176" s="251"/>
      <c r="AA176" s="251"/>
      <c r="AB176" s="333"/>
      <c r="AC176" s="316"/>
      <c r="AD176" s="315"/>
      <c r="AE176" s="316"/>
    </row>
    <row r="177" spans="1:31" ht="23.4" hidden="1" customHeight="1">
      <c r="A177" s="254"/>
      <c r="B177" s="321"/>
      <c r="C177" s="281">
        <v>244</v>
      </c>
      <c r="D177" s="321"/>
      <c r="E177" s="331" t="s">
        <v>248</v>
      </c>
      <c r="F177" s="254"/>
      <c r="G177" s="254"/>
      <c r="H177" s="254"/>
      <c r="I177" s="258"/>
      <c r="J177" s="312"/>
      <c r="K177" s="397"/>
      <c r="L177" s="294"/>
      <c r="M177" s="458"/>
      <c r="N177" s="251">
        <f t="shared" si="24"/>
        <v>0</v>
      </c>
      <c r="O177" s="252"/>
      <c r="P177" s="335"/>
      <c r="Q177" s="251"/>
      <c r="R177" s="332"/>
      <c r="S177" s="251"/>
      <c r="T177" s="251"/>
      <c r="U177" s="251"/>
      <c r="V177" s="251"/>
      <c r="W177" s="251"/>
      <c r="X177" s="251"/>
      <c r="Y177" s="251"/>
      <c r="Z177" s="251"/>
      <c r="AA177" s="251"/>
      <c r="AB177" s="333"/>
      <c r="AC177" s="316"/>
      <c r="AD177" s="315"/>
      <c r="AE177" s="316"/>
    </row>
    <row r="178" spans="1:31" ht="4.2" hidden="1" customHeight="1">
      <c r="A178" s="254"/>
      <c r="B178" s="321"/>
      <c r="C178" s="321">
        <v>244</v>
      </c>
      <c r="D178" s="321"/>
      <c r="E178" s="331" t="s">
        <v>83</v>
      </c>
      <c r="F178" s="254"/>
      <c r="G178" s="254"/>
      <c r="H178" s="254"/>
      <c r="I178" s="258"/>
      <c r="J178" s="312"/>
      <c r="K178" s="397"/>
      <c r="L178" s="294"/>
      <c r="M178" s="458"/>
      <c r="N178" s="255">
        <f t="shared" si="24"/>
        <v>0</v>
      </c>
      <c r="O178" s="252"/>
      <c r="P178" s="335"/>
      <c r="Q178" s="251"/>
      <c r="R178" s="332"/>
      <c r="S178" s="251"/>
      <c r="T178" s="251"/>
      <c r="U178" s="251"/>
      <c r="V178" s="251"/>
      <c r="W178" s="251"/>
      <c r="X178" s="251"/>
      <c r="Y178" s="251"/>
      <c r="Z178" s="251"/>
      <c r="AA178" s="251"/>
      <c r="AB178" s="339"/>
      <c r="AC178" s="316"/>
      <c r="AD178" s="315"/>
      <c r="AE178" s="316"/>
    </row>
    <row r="179" spans="1:31" ht="27.6" hidden="1" customHeight="1">
      <c r="A179" s="254"/>
      <c r="B179" s="320" t="s">
        <v>314</v>
      </c>
      <c r="C179" s="321">
        <v>244</v>
      </c>
      <c r="D179" s="322" t="s">
        <v>241</v>
      </c>
      <c r="E179" s="331" t="s">
        <v>250</v>
      </c>
      <c r="F179" s="254"/>
      <c r="G179" s="254"/>
      <c r="H179" s="254"/>
      <c r="I179" s="258"/>
      <c r="J179" s="312"/>
      <c r="K179" s="397">
        <v>61982185.729999997</v>
      </c>
      <c r="L179" s="294"/>
      <c r="M179" s="458">
        <v>37616746</v>
      </c>
      <c r="N179" s="400">
        <f t="shared" si="24"/>
        <v>24365439.729999997</v>
      </c>
      <c r="O179" s="252"/>
      <c r="P179" s="335"/>
      <c r="Q179" s="251"/>
      <c r="R179" s="342"/>
      <c r="S179" s="251"/>
      <c r="T179" s="251"/>
      <c r="U179" s="251"/>
      <c r="V179" s="251"/>
      <c r="W179" s="251"/>
      <c r="X179" s="251"/>
      <c r="Y179" s="251"/>
      <c r="Z179" s="251"/>
      <c r="AA179" s="251"/>
      <c r="AB179" s="333"/>
      <c r="AC179" s="316"/>
      <c r="AD179" s="315"/>
      <c r="AE179" s="316"/>
    </row>
    <row r="180" spans="1:31" ht="22.2" hidden="1" customHeight="1">
      <c r="A180" s="254"/>
      <c r="B180" s="320" t="s">
        <v>314</v>
      </c>
      <c r="C180" s="321">
        <v>244</v>
      </c>
      <c r="D180" s="322" t="s">
        <v>242</v>
      </c>
      <c r="E180" s="343" t="s">
        <v>81</v>
      </c>
      <c r="F180" s="324"/>
      <c r="G180" s="324"/>
      <c r="H180" s="324"/>
      <c r="I180" s="325"/>
      <c r="J180" s="337"/>
      <c r="K180" s="397">
        <v>10439000</v>
      </c>
      <c r="L180" s="312"/>
      <c r="M180" s="460">
        <v>4387645.54</v>
      </c>
      <c r="N180" s="400">
        <f t="shared" si="24"/>
        <v>6051354.46</v>
      </c>
      <c r="O180" s="327">
        <f t="shared" ref="O180:AA180" si="25">SUM(O181:O189)</f>
        <v>0</v>
      </c>
      <c r="P180" s="327">
        <f t="shared" si="25"/>
        <v>0</v>
      </c>
      <c r="Q180" s="328">
        <f t="shared" si="25"/>
        <v>0</v>
      </c>
      <c r="R180" s="328">
        <f t="shared" si="25"/>
        <v>0</v>
      </c>
      <c r="S180" s="328">
        <f t="shared" si="25"/>
        <v>0</v>
      </c>
      <c r="T180" s="328">
        <f t="shared" si="25"/>
        <v>0</v>
      </c>
      <c r="U180" s="328">
        <f t="shared" si="25"/>
        <v>0</v>
      </c>
      <c r="V180" s="328">
        <f t="shared" si="25"/>
        <v>0</v>
      </c>
      <c r="W180" s="328">
        <f t="shared" si="25"/>
        <v>0</v>
      </c>
      <c r="X180" s="328">
        <f t="shared" si="25"/>
        <v>0</v>
      </c>
      <c r="Y180" s="328">
        <f t="shared" si="25"/>
        <v>0</v>
      </c>
      <c r="Z180" s="328">
        <f t="shared" si="25"/>
        <v>0</v>
      </c>
      <c r="AA180" s="328">
        <f t="shared" si="25"/>
        <v>0</v>
      </c>
      <c r="AB180" s="328"/>
      <c r="AC180" s="316"/>
      <c r="AD180" s="315"/>
      <c r="AE180" s="316"/>
    </row>
    <row r="181" spans="1:31" ht="15.6" hidden="1" customHeight="1">
      <c r="A181" s="254"/>
      <c r="B181" s="321"/>
      <c r="C181" s="321"/>
      <c r="D181" s="321"/>
      <c r="E181" s="344" t="s">
        <v>80</v>
      </c>
      <c r="F181" s="254"/>
      <c r="G181" s="254"/>
      <c r="H181" s="254"/>
      <c r="I181" s="258"/>
      <c r="J181" s="312"/>
      <c r="K181" s="248"/>
      <c r="L181" s="312"/>
      <c r="M181" s="453"/>
      <c r="N181" s="280">
        <f t="shared" si="24"/>
        <v>0</v>
      </c>
      <c r="O181" s="250"/>
      <c r="P181" s="345"/>
      <c r="Q181" s="251"/>
      <c r="R181" s="332"/>
      <c r="S181" s="251"/>
      <c r="T181" s="251"/>
      <c r="U181" s="251"/>
      <c r="V181" s="251"/>
      <c r="W181" s="251"/>
      <c r="X181" s="251"/>
      <c r="Y181" s="251"/>
      <c r="Z181" s="251"/>
      <c r="AA181" s="251"/>
      <c r="AB181" s="333"/>
      <c r="AC181" s="316"/>
      <c r="AD181" s="315"/>
      <c r="AE181" s="316"/>
    </row>
    <row r="182" spans="1:31" ht="19.95" hidden="1" customHeight="1">
      <c r="A182" s="254"/>
      <c r="B182" s="321"/>
      <c r="C182" s="321">
        <v>244</v>
      </c>
      <c r="D182" s="321"/>
      <c r="E182" s="331" t="s">
        <v>97</v>
      </c>
      <c r="F182" s="254"/>
      <c r="G182" s="254"/>
      <c r="H182" s="254"/>
      <c r="I182" s="258"/>
      <c r="J182" s="312"/>
      <c r="K182" s="248">
        <v>10100</v>
      </c>
      <c r="L182" s="312"/>
      <c r="M182" s="453"/>
      <c r="N182" s="280">
        <f t="shared" si="24"/>
        <v>10100</v>
      </c>
      <c r="O182" s="250"/>
      <c r="P182" s="345"/>
      <c r="Q182" s="251"/>
      <c r="R182" s="332"/>
      <c r="S182" s="251"/>
      <c r="T182" s="251"/>
      <c r="U182" s="251"/>
      <c r="V182" s="251"/>
      <c r="W182" s="251"/>
      <c r="X182" s="251"/>
      <c r="Y182" s="251"/>
      <c r="Z182" s="251"/>
      <c r="AA182" s="251"/>
      <c r="AB182" s="333"/>
      <c r="AC182" s="316"/>
      <c r="AD182" s="315"/>
      <c r="AE182" s="316"/>
    </row>
    <row r="183" spans="1:31" ht="23.4" hidden="1" customHeight="1">
      <c r="A183" s="254"/>
      <c r="B183" s="321"/>
      <c r="C183" s="321">
        <v>244</v>
      </c>
      <c r="D183" s="321"/>
      <c r="E183" s="331" t="s">
        <v>82</v>
      </c>
      <c r="F183" s="254"/>
      <c r="G183" s="254"/>
      <c r="H183" s="254"/>
      <c r="I183" s="258"/>
      <c r="J183" s="312"/>
      <c r="K183" s="248">
        <f>1803762.85+45400</f>
        <v>1849162.85</v>
      </c>
      <c r="L183" s="312"/>
      <c r="M183" s="453"/>
      <c r="N183" s="280">
        <f t="shared" si="24"/>
        <v>1849162.85</v>
      </c>
      <c r="O183" s="250"/>
      <c r="P183" s="345"/>
      <c r="Q183" s="251"/>
      <c r="R183" s="332"/>
      <c r="S183" s="332"/>
      <c r="T183" s="332"/>
      <c r="U183" s="332"/>
      <c r="V183" s="332"/>
      <c r="W183" s="332"/>
      <c r="X183" s="332"/>
      <c r="Y183" s="332"/>
      <c r="Z183" s="332"/>
      <c r="AA183" s="332"/>
      <c r="AB183" s="333"/>
      <c r="AC183" s="316"/>
      <c r="AD183" s="315"/>
      <c r="AE183" s="316"/>
    </row>
    <row r="184" spans="1:31" ht="28.2" hidden="1" customHeight="1">
      <c r="A184" s="254"/>
      <c r="B184" s="321"/>
      <c r="C184" s="321">
        <v>244</v>
      </c>
      <c r="D184" s="321"/>
      <c r="E184" s="331" t="s">
        <v>230</v>
      </c>
      <c r="F184" s="254"/>
      <c r="G184" s="254"/>
      <c r="H184" s="254"/>
      <c r="I184" s="258"/>
      <c r="J184" s="312"/>
      <c r="K184" s="248">
        <v>100000</v>
      </c>
      <c r="L184" s="312"/>
      <c r="M184" s="453"/>
      <c r="N184" s="280">
        <f t="shared" si="24"/>
        <v>100000</v>
      </c>
      <c r="O184" s="250"/>
      <c r="P184" s="345"/>
      <c r="Q184" s="251"/>
      <c r="R184" s="332"/>
      <c r="S184" s="332"/>
      <c r="T184" s="332"/>
      <c r="U184" s="332"/>
      <c r="V184" s="332"/>
      <c r="W184" s="332"/>
      <c r="X184" s="332"/>
      <c r="Y184" s="332"/>
      <c r="Z184" s="332"/>
      <c r="AA184" s="332"/>
      <c r="AB184" s="333"/>
      <c r="AC184" s="316"/>
      <c r="AD184" s="315"/>
      <c r="AE184" s="316"/>
    </row>
    <row r="185" spans="1:31" ht="21" hidden="1" customHeight="1">
      <c r="A185" s="254"/>
      <c r="B185" s="321"/>
      <c r="C185" s="321">
        <v>244</v>
      </c>
      <c r="D185" s="321"/>
      <c r="E185" s="331" t="s">
        <v>279</v>
      </c>
      <c r="F185" s="254"/>
      <c r="G185" s="254"/>
      <c r="H185" s="254"/>
      <c r="I185" s="258"/>
      <c r="J185" s="312"/>
      <c r="K185" s="248">
        <v>499174.41</v>
      </c>
      <c r="L185" s="312"/>
      <c r="M185" s="453"/>
      <c r="N185" s="280">
        <f t="shared" si="24"/>
        <v>499174.41</v>
      </c>
      <c r="O185" s="250"/>
      <c r="P185" s="345"/>
      <c r="Q185" s="251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3"/>
      <c r="AC185" s="316"/>
      <c r="AD185" s="315"/>
      <c r="AE185" s="316"/>
    </row>
    <row r="186" spans="1:31" ht="27" hidden="1" customHeight="1">
      <c r="A186" s="254"/>
      <c r="B186" s="321"/>
      <c r="C186" s="321">
        <v>244</v>
      </c>
      <c r="D186" s="321"/>
      <c r="E186" s="331" t="s">
        <v>214</v>
      </c>
      <c r="F186" s="254"/>
      <c r="G186" s="254"/>
      <c r="H186" s="254"/>
      <c r="I186" s="258"/>
      <c r="J186" s="312"/>
      <c r="K186" s="248"/>
      <c r="L186" s="312"/>
      <c r="M186" s="453"/>
      <c r="N186" s="280">
        <f t="shared" si="24"/>
        <v>0</v>
      </c>
      <c r="O186" s="250"/>
      <c r="P186" s="345"/>
      <c r="Q186" s="251"/>
      <c r="R186" s="332"/>
      <c r="S186" s="332"/>
      <c r="T186" s="332"/>
      <c r="U186" s="332"/>
      <c r="V186" s="332"/>
      <c r="W186" s="332"/>
      <c r="X186" s="332"/>
      <c r="Y186" s="332"/>
      <c r="Z186" s="332"/>
      <c r="AA186" s="332"/>
      <c r="AB186" s="333"/>
      <c r="AC186" s="316"/>
      <c r="AD186" s="315"/>
      <c r="AE186" s="316"/>
    </row>
    <row r="187" spans="1:31" ht="31.2" hidden="1" customHeight="1">
      <c r="A187" s="254"/>
      <c r="B187" s="321"/>
      <c r="C187" s="321">
        <v>244</v>
      </c>
      <c r="D187" s="321"/>
      <c r="E187" s="331" t="s">
        <v>271</v>
      </c>
      <c r="F187" s="254"/>
      <c r="G187" s="254"/>
      <c r="H187" s="254"/>
      <c r="I187" s="258"/>
      <c r="J187" s="312"/>
      <c r="K187" s="248">
        <v>200000</v>
      </c>
      <c r="L187" s="312"/>
      <c r="M187" s="453"/>
      <c r="N187" s="280">
        <f t="shared" si="24"/>
        <v>200000</v>
      </c>
      <c r="O187" s="250"/>
      <c r="P187" s="345"/>
      <c r="Q187" s="251"/>
      <c r="R187" s="332"/>
      <c r="S187" s="332"/>
      <c r="T187" s="332"/>
      <c r="U187" s="332"/>
      <c r="V187" s="332"/>
      <c r="W187" s="332"/>
      <c r="X187" s="332"/>
      <c r="Y187" s="332"/>
      <c r="Z187" s="332"/>
      <c r="AA187" s="332"/>
      <c r="AB187" s="333"/>
      <c r="AC187" s="316"/>
      <c r="AD187" s="315"/>
      <c r="AE187" s="316"/>
    </row>
    <row r="188" spans="1:31" ht="40.950000000000003" hidden="1" customHeight="1">
      <c r="A188" s="254"/>
      <c r="B188" s="321"/>
      <c r="C188" s="321">
        <v>244</v>
      </c>
      <c r="D188" s="321"/>
      <c r="E188" s="331" t="s">
        <v>98</v>
      </c>
      <c r="F188" s="254"/>
      <c r="G188" s="254"/>
      <c r="H188" s="254"/>
      <c r="I188" s="258"/>
      <c r="J188" s="312"/>
      <c r="K188" s="248">
        <v>100000</v>
      </c>
      <c r="L188" s="312"/>
      <c r="M188" s="453"/>
      <c r="N188" s="280">
        <f t="shared" si="24"/>
        <v>100000</v>
      </c>
      <c r="O188" s="250"/>
      <c r="P188" s="345"/>
      <c r="Q188" s="251"/>
      <c r="R188" s="332"/>
      <c r="S188" s="332"/>
      <c r="T188" s="332"/>
      <c r="U188" s="332"/>
      <c r="V188" s="332"/>
      <c r="W188" s="332"/>
      <c r="X188" s="332"/>
      <c r="Y188" s="332"/>
      <c r="Z188" s="332"/>
      <c r="AA188" s="332"/>
      <c r="AB188" s="333"/>
      <c r="AC188" s="316"/>
      <c r="AD188" s="315"/>
      <c r="AE188" s="316"/>
    </row>
    <row r="189" spans="1:31" ht="24" hidden="1" customHeight="1">
      <c r="A189" s="254"/>
      <c r="B189" s="321"/>
      <c r="C189" s="321">
        <v>244</v>
      </c>
      <c r="D189" s="321"/>
      <c r="E189" s="331" t="s">
        <v>283</v>
      </c>
      <c r="F189" s="254"/>
      <c r="G189" s="254"/>
      <c r="H189" s="254"/>
      <c r="I189" s="258"/>
      <c r="J189" s="312"/>
      <c r="K189" s="248">
        <v>195762.74</v>
      </c>
      <c r="L189" s="312"/>
      <c r="M189" s="453"/>
      <c r="N189" s="280">
        <f t="shared" si="24"/>
        <v>195762.74</v>
      </c>
      <c r="O189" s="250"/>
      <c r="P189" s="345"/>
      <c r="Q189" s="251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3"/>
      <c r="AC189" s="316"/>
      <c r="AD189" s="315"/>
      <c r="AE189" s="316"/>
    </row>
    <row r="190" spans="1:31" ht="34.950000000000003" hidden="1" customHeight="1">
      <c r="A190" s="254"/>
      <c r="B190" s="346"/>
      <c r="C190" s="347">
        <v>244</v>
      </c>
      <c r="D190" s="348">
        <v>225.226</v>
      </c>
      <c r="E190" s="349" t="s">
        <v>252</v>
      </c>
      <c r="F190" s="350"/>
      <c r="G190" s="350"/>
      <c r="H190" s="350"/>
      <c r="I190" s="350"/>
      <c r="J190" s="350"/>
      <c r="K190" s="353">
        <f>K161+K162+K179+K180</f>
        <v>1546938480</v>
      </c>
      <c r="L190" s="352"/>
      <c r="M190" s="462">
        <f>M161+M162+M179+M180</f>
        <v>1273835855.49</v>
      </c>
      <c r="N190" s="353">
        <f>N161+N162+N179+N180</f>
        <v>407332118.31</v>
      </c>
      <c r="O190" s="353">
        <f t="shared" ref="O190:AA190" si="26">O161+O175+O180</f>
        <v>0</v>
      </c>
      <c r="P190" s="353">
        <f t="shared" si="26"/>
        <v>0</v>
      </c>
      <c r="Q190" s="333">
        <f t="shared" si="26"/>
        <v>0</v>
      </c>
      <c r="R190" s="333">
        <f t="shared" si="26"/>
        <v>0</v>
      </c>
      <c r="S190" s="333">
        <f t="shared" si="26"/>
        <v>0</v>
      </c>
      <c r="T190" s="333">
        <f t="shared" si="26"/>
        <v>0</v>
      </c>
      <c r="U190" s="333">
        <f t="shared" si="26"/>
        <v>0</v>
      </c>
      <c r="V190" s="333">
        <f t="shared" si="26"/>
        <v>0</v>
      </c>
      <c r="W190" s="333">
        <f t="shared" si="26"/>
        <v>0</v>
      </c>
      <c r="X190" s="333">
        <f t="shared" si="26"/>
        <v>0</v>
      </c>
      <c r="Y190" s="354">
        <f t="shared" si="26"/>
        <v>0</v>
      </c>
      <c r="Z190" s="354">
        <f t="shared" si="26"/>
        <v>0</v>
      </c>
      <c r="AA190" s="354">
        <f t="shared" si="26"/>
        <v>0</v>
      </c>
      <c r="AB190" s="333"/>
      <c r="AC190" s="316"/>
      <c r="AD190" s="315"/>
      <c r="AE190" s="316"/>
    </row>
    <row r="191" spans="1:31" ht="23.4" hidden="1" customHeight="1">
      <c r="A191" s="254"/>
      <c r="B191" s="320" t="s">
        <v>314</v>
      </c>
      <c r="C191" s="355">
        <v>243</v>
      </c>
      <c r="D191" s="356">
        <v>225</v>
      </c>
      <c r="E191" s="336" t="s">
        <v>140</v>
      </c>
      <c r="F191" s="254"/>
      <c r="G191" s="254"/>
      <c r="H191" s="254"/>
      <c r="I191" s="254"/>
      <c r="J191" s="254"/>
      <c r="K191" s="399">
        <v>280761700</v>
      </c>
      <c r="L191" s="357"/>
      <c r="M191" s="458">
        <v>245587512</v>
      </c>
      <c r="N191" s="251">
        <f t="shared" ref="N191:N204" si="27">K191-M191</f>
        <v>35174188</v>
      </c>
      <c r="O191" s="252"/>
      <c r="P191" s="255"/>
      <c r="Q191" s="251"/>
      <c r="R191" s="251"/>
      <c r="S191" s="332"/>
      <c r="T191" s="332"/>
      <c r="U191" s="335"/>
      <c r="V191" s="335"/>
      <c r="W191" s="335"/>
      <c r="X191" s="335"/>
      <c r="Y191" s="332"/>
      <c r="Z191" s="335"/>
      <c r="AA191" s="335"/>
      <c r="AB191" s="333"/>
      <c r="AC191" s="316"/>
      <c r="AE191" s="316"/>
    </row>
    <row r="192" spans="1:31" ht="19.95" hidden="1" customHeight="1">
      <c r="A192" s="254"/>
      <c r="B192" s="320" t="s">
        <v>314</v>
      </c>
      <c r="C192" s="355">
        <v>243</v>
      </c>
      <c r="D192" s="356">
        <v>226</v>
      </c>
      <c r="E192" s="336" t="s">
        <v>305</v>
      </c>
      <c r="F192" s="254"/>
      <c r="G192" s="254"/>
      <c r="H192" s="254"/>
      <c r="I192" s="254"/>
      <c r="J192" s="254"/>
      <c r="K192" s="399">
        <v>5018200</v>
      </c>
      <c r="L192" s="357"/>
      <c r="M192" s="458">
        <v>2159587.73</v>
      </c>
      <c r="N192" s="251">
        <f t="shared" si="27"/>
        <v>2858612.27</v>
      </c>
      <c r="O192" s="252"/>
      <c r="P192" s="255"/>
      <c r="Q192" s="251"/>
      <c r="R192" s="251"/>
      <c r="S192" s="332"/>
      <c r="T192" s="332"/>
      <c r="U192" s="335"/>
      <c r="V192" s="335"/>
      <c r="W192" s="335"/>
      <c r="X192" s="335"/>
      <c r="Y192" s="332"/>
      <c r="Z192" s="335"/>
      <c r="AA192" s="335"/>
      <c r="AB192" s="333"/>
      <c r="AC192" s="316"/>
      <c r="AE192" s="316"/>
    </row>
    <row r="193" spans="1:31" ht="19.95" hidden="1" customHeight="1">
      <c r="A193" s="254"/>
      <c r="B193" s="320">
        <v>1310004300</v>
      </c>
      <c r="C193" s="355">
        <v>243</v>
      </c>
      <c r="D193" s="356">
        <v>225</v>
      </c>
      <c r="E193" s="336" t="s">
        <v>309</v>
      </c>
      <c r="F193" s="254"/>
      <c r="G193" s="254"/>
      <c r="H193" s="254"/>
      <c r="I193" s="254"/>
      <c r="J193" s="254"/>
      <c r="K193" s="399">
        <v>29795400</v>
      </c>
      <c r="L193" s="357"/>
      <c r="M193" s="458">
        <f>21693706.46+7803726.66</f>
        <v>29497433.120000001</v>
      </c>
      <c r="N193" s="251">
        <f t="shared" si="27"/>
        <v>297966.87999999896</v>
      </c>
      <c r="O193" s="252"/>
      <c r="P193" s="255"/>
      <c r="Q193" s="251"/>
      <c r="R193" s="251"/>
      <c r="S193" s="332"/>
      <c r="T193" s="332"/>
      <c r="U193" s="335"/>
      <c r="V193" s="335"/>
      <c r="W193" s="335"/>
      <c r="X193" s="335"/>
      <c r="Y193" s="332"/>
      <c r="Z193" s="335"/>
      <c r="AA193" s="335"/>
      <c r="AB193" s="333"/>
      <c r="AC193" s="316"/>
      <c r="AE193" s="316"/>
    </row>
    <row r="194" spans="1:31" ht="31.2" hidden="1" customHeight="1">
      <c r="A194" s="254"/>
      <c r="B194" s="320" t="s">
        <v>314</v>
      </c>
      <c r="C194" s="355">
        <v>244</v>
      </c>
      <c r="D194" s="356" t="s">
        <v>243</v>
      </c>
      <c r="E194" s="336" t="s">
        <v>311</v>
      </c>
      <c r="F194" s="254"/>
      <c r="G194" s="254"/>
      <c r="H194" s="254"/>
      <c r="I194" s="254"/>
      <c r="J194" s="254"/>
      <c r="K194" s="399">
        <v>715133100</v>
      </c>
      <c r="L194" s="357"/>
      <c r="M194" s="458">
        <f>408533368.03+1348296+31153355.22+5058594.88</f>
        <v>446093614.13</v>
      </c>
      <c r="N194" s="251">
        <f t="shared" si="27"/>
        <v>269039485.87</v>
      </c>
      <c r="O194" s="252"/>
      <c r="P194" s="255"/>
      <c r="Q194" s="251"/>
      <c r="R194" s="251"/>
      <c r="S194" s="332"/>
      <c r="T194" s="332"/>
      <c r="U194" s="335"/>
      <c r="V194" s="335"/>
      <c r="W194" s="335"/>
      <c r="X194" s="335"/>
      <c r="Y194" s="332"/>
      <c r="Z194" s="335"/>
      <c r="AA194" s="335"/>
      <c r="AB194" s="333"/>
      <c r="AC194" s="316"/>
      <c r="AE194" s="316"/>
    </row>
    <row r="195" spans="1:31" ht="25.2" hidden="1" customHeight="1">
      <c r="A195" s="254"/>
      <c r="B195" s="320" t="s">
        <v>314</v>
      </c>
      <c r="C195" s="355">
        <v>244</v>
      </c>
      <c r="D195" s="356">
        <v>226</v>
      </c>
      <c r="E195" s="336" t="s">
        <v>404</v>
      </c>
      <c r="F195" s="254"/>
      <c r="G195" s="254"/>
      <c r="H195" s="254"/>
      <c r="I195" s="254"/>
      <c r="J195" s="254"/>
      <c r="K195" s="399">
        <v>4981800</v>
      </c>
      <c r="L195" s="357"/>
      <c r="M195" s="458">
        <v>1261270.01</v>
      </c>
      <c r="N195" s="251">
        <f t="shared" si="27"/>
        <v>3720529.99</v>
      </c>
      <c r="O195" s="252"/>
      <c r="P195" s="251"/>
      <c r="Q195" s="251"/>
      <c r="R195" s="251"/>
      <c r="S195" s="332"/>
      <c r="T195" s="332"/>
      <c r="U195" s="335"/>
      <c r="V195" s="335"/>
      <c r="W195" s="335"/>
      <c r="X195" s="335"/>
      <c r="Y195" s="332"/>
      <c r="Z195" s="335"/>
      <c r="AA195" s="335"/>
      <c r="AB195" s="333"/>
      <c r="AC195" s="316"/>
      <c r="AE195" s="316"/>
    </row>
    <row r="196" spans="1:31" ht="19.2" hidden="1" customHeight="1">
      <c r="A196" s="254"/>
      <c r="B196" s="320">
        <v>1310004300</v>
      </c>
      <c r="C196" s="355">
        <v>244</v>
      </c>
      <c r="D196" s="356" t="s">
        <v>243</v>
      </c>
      <c r="E196" s="336" t="s">
        <v>310</v>
      </c>
      <c r="F196" s="254"/>
      <c r="G196" s="254"/>
      <c r="H196" s="254"/>
      <c r="I196" s="254"/>
      <c r="J196" s="254"/>
      <c r="K196" s="399">
        <v>29284600</v>
      </c>
      <c r="L196" s="357"/>
      <c r="M196" s="458">
        <v>25507708.120000001</v>
      </c>
      <c r="N196" s="251">
        <f t="shared" si="27"/>
        <v>3776891.879999999</v>
      </c>
      <c r="O196" s="252"/>
      <c r="P196" s="254"/>
      <c r="Q196" s="254"/>
      <c r="R196" s="251"/>
      <c r="S196" s="251"/>
      <c r="T196" s="251"/>
      <c r="U196" s="254"/>
      <c r="V196" s="254"/>
      <c r="W196" s="254"/>
      <c r="X196" s="254"/>
      <c r="Y196" s="251"/>
      <c r="Z196" s="254"/>
      <c r="AA196" s="254"/>
      <c r="AB196" s="333"/>
      <c r="AC196" s="316"/>
      <c r="AE196" s="316"/>
    </row>
    <row r="197" spans="1:31" ht="19.2" hidden="1" customHeight="1">
      <c r="A197" s="254"/>
      <c r="B197" s="346"/>
      <c r="C197" s="393"/>
      <c r="D197" s="348"/>
      <c r="E197" s="394" t="s">
        <v>405</v>
      </c>
      <c r="F197" s="350"/>
      <c r="G197" s="350"/>
      <c r="H197" s="350"/>
      <c r="I197" s="350"/>
      <c r="J197" s="350"/>
      <c r="K197" s="351">
        <f>SUM(K191:K196)</f>
        <v>1064974800</v>
      </c>
      <c r="L197" s="352"/>
      <c r="M197" s="463">
        <f t="shared" ref="M197:AB197" si="28">SUM(M191:M196)</f>
        <v>750107125.11000001</v>
      </c>
      <c r="N197" s="351">
        <f t="shared" si="28"/>
        <v>314867674.88999999</v>
      </c>
      <c r="O197" s="351">
        <f t="shared" si="28"/>
        <v>0</v>
      </c>
      <c r="P197" s="351">
        <f t="shared" si="28"/>
        <v>0</v>
      </c>
      <c r="Q197" s="351">
        <f t="shared" si="28"/>
        <v>0</v>
      </c>
      <c r="R197" s="351">
        <f t="shared" si="28"/>
        <v>0</v>
      </c>
      <c r="S197" s="351">
        <f t="shared" si="28"/>
        <v>0</v>
      </c>
      <c r="T197" s="351">
        <f t="shared" si="28"/>
        <v>0</v>
      </c>
      <c r="U197" s="351">
        <f t="shared" si="28"/>
        <v>0</v>
      </c>
      <c r="V197" s="351">
        <f t="shared" si="28"/>
        <v>0</v>
      </c>
      <c r="W197" s="351">
        <f t="shared" si="28"/>
        <v>0</v>
      </c>
      <c r="X197" s="351">
        <f t="shared" si="28"/>
        <v>0</v>
      </c>
      <c r="Y197" s="351">
        <f t="shared" si="28"/>
        <v>0</v>
      </c>
      <c r="Z197" s="351">
        <f t="shared" si="28"/>
        <v>0</v>
      </c>
      <c r="AA197" s="351">
        <f t="shared" si="28"/>
        <v>0</v>
      </c>
      <c r="AB197" s="351">
        <f t="shared" si="28"/>
        <v>0</v>
      </c>
      <c r="AC197" s="316"/>
      <c r="AE197" s="316"/>
    </row>
    <row r="198" spans="1:31" ht="22.2" hidden="1" customHeight="1">
      <c r="A198" s="254"/>
      <c r="B198" s="320" t="s">
        <v>316</v>
      </c>
      <c r="C198" s="355">
        <v>414</v>
      </c>
      <c r="D198" s="356">
        <v>226</v>
      </c>
      <c r="E198" s="336" t="s">
        <v>307</v>
      </c>
      <c r="F198" s="254"/>
      <c r="G198" s="254"/>
      <c r="H198" s="254"/>
      <c r="I198" s="254"/>
      <c r="J198" s="254"/>
      <c r="K198" s="399">
        <v>16608500</v>
      </c>
      <c r="L198" s="357"/>
      <c r="M198" s="458">
        <v>112291.97</v>
      </c>
      <c r="N198" s="251">
        <f t="shared" si="27"/>
        <v>16496208.029999999</v>
      </c>
      <c r="O198" s="252"/>
      <c r="P198" s="254"/>
      <c r="Q198" s="251"/>
      <c r="R198" s="251"/>
      <c r="S198" s="332"/>
      <c r="T198" s="332"/>
      <c r="U198" s="332"/>
      <c r="V198" s="332"/>
      <c r="W198" s="332"/>
      <c r="X198" s="332"/>
      <c r="Y198" s="332"/>
      <c r="Z198" s="332"/>
      <c r="AA198" s="332"/>
      <c r="AB198" s="333"/>
      <c r="AC198" s="316"/>
      <c r="AE198" s="316"/>
    </row>
    <row r="199" spans="1:31" ht="24" hidden="1" customHeight="1">
      <c r="A199" s="254"/>
      <c r="B199" s="320" t="s">
        <v>316</v>
      </c>
      <c r="C199" s="358" t="s">
        <v>253</v>
      </c>
      <c r="D199" s="356">
        <v>310</v>
      </c>
      <c r="E199" s="336" t="s">
        <v>284</v>
      </c>
      <c r="F199" s="254"/>
      <c r="G199" s="254"/>
      <c r="H199" s="254"/>
      <c r="I199" s="254"/>
      <c r="J199" s="254"/>
      <c r="K199" s="399">
        <v>78639950</v>
      </c>
      <c r="L199" s="357"/>
      <c r="M199" s="454">
        <f>33290022.8+22427728.61</f>
        <v>55717751.409999996</v>
      </c>
      <c r="N199" s="251">
        <f t="shared" si="27"/>
        <v>22922198.590000004</v>
      </c>
      <c r="O199" s="252"/>
      <c r="P199" s="251"/>
      <c r="Q199" s="251"/>
      <c r="R199" s="251"/>
      <c r="S199" s="332"/>
      <c r="T199" s="332"/>
      <c r="U199" s="335"/>
      <c r="V199" s="335"/>
      <c r="W199" s="335"/>
      <c r="X199" s="335"/>
      <c r="Y199" s="332"/>
      <c r="Z199" s="335"/>
      <c r="AA199" s="335"/>
      <c r="AB199" s="333"/>
      <c r="AE199" s="316"/>
    </row>
    <row r="200" spans="1:31" ht="20.399999999999999" hidden="1" customHeight="1">
      <c r="A200" s="359"/>
      <c r="B200" s="320">
        <v>1310018000</v>
      </c>
      <c r="C200" s="355">
        <v>414</v>
      </c>
      <c r="D200" s="356">
        <v>310</v>
      </c>
      <c r="E200" s="336" t="s">
        <v>315</v>
      </c>
      <c r="F200" s="254"/>
      <c r="G200" s="254"/>
      <c r="H200" s="254"/>
      <c r="I200" s="254"/>
      <c r="J200" s="254"/>
      <c r="K200" s="399">
        <v>182800000</v>
      </c>
      <c r="L200" s="357"/>
      <c r="M200" s="454">
        <v>136089770.09</v>
      </c>
      <c r="N200" s="251">
        <f t="shared" si="27"/>
        <v>46710229.909999996</v>
      </c>
      <c r="O200" s="252"/>
      <c r="P200" s="251"/>
      <c r="Q200" s="251"/>
      <c r="R200" s="251"/>
      <c r="S200" s="335"/>
      <c r="T200" s="335"/>
      <c r="U200" s="335"/>
      <c r="V200" s="335"/>
      <c r="W200" s="335"/>
      <c r="X200" s="332"/>
      <c r="Y200" s="332"/>
      <c r="Z200" s="335"/>
      <c r="AA200" s="335"/>
      <c r="AB200" s="333"/>
      <c r="AE200" s="316"/>
    </row>
    <row r="201" spans="1:31" ht="20.399999999999999" hidden="1" customHeight="1">
      <c r="A201" s="359"/>
      <c r="B201" s="320">
        <v>1310018000</v>
      </c>
      <c r="C201" s="355">
        <v>414</v>
      </c>
      <c r="D201" s="356">
        <v>226</v>
      </c>
      <c r="E201" s="336" t="s">
        <v>324</v>
      </c>
      <c r="F201" s="254"/>
      <c r="G201" s="254"/>
      <c r="H201" s="254"/>
      <c r="I201" s="254"/>
      <c r="J201" s="254"/>
      <c r="K201" s="399">
        <v>4002000</v>
      </c>
      <c r="L201" s="357"/>
      <c r="M201" s="454">
        <v>1937452.44</v>
      </c>
      <c r="N201" s="251">
        <f t="shared" si="27"/>
        <v>2064547.56</v>
      </c>
      <c r="O201" s="252"/>
      <c r="P201" s="251"/>
      <c r="Q201" s="251"/>
      <c r="R201" s="251"/>
      <c r="S201" s="335"/>
      <c r="T201" s="335"/>
      <c r="U201" s="335"/>
      <c r="V201" s="335"/>
      <c r="W201" s="335"/>
      <c r="X201" s="332"/>
      <c r="Y201" s="332"/>
      <c r="Z201" s="335"/>
      <c r="AA201" s="335"/>
      <c r="AB201" s="333"/>
      <c r="AE201" s="316"/>
    </row>
    <row r="202" spans="1:31" ht="20.399999999999999" hidden="1" customHeight="1">
      <c r="A202" s="359"/>
      <c r="B202" s="346"/>
      <c r="C202" s="393"/>
      <c r="D202" s="348"/>
      <c r="E202" s="394" t="s">
        <v>406</v>
      </c>
      <c r="F202" s="350"/>
      <c r="G202" s="350"/>
      <c r="H202" s="350"/>
      <c r="I202" s="350"/>
      <c r="J202" s="350"/>
      <c r="K202" s="351">
        <f>SUM(K198:K201)</f>
        <v>282050450</v>
      </c>
      <c r="L202" s="352"/>
      <c r="M202" s="463">
        <f t="shared" ref="M202:U202" si="29">SUM(M198:M201)</f>
        <v>193857265.91</v>
      </c>
      <c r="N202" s="351">
        <f t="shared" si="29"/>
        <v>88193184.090000004</v>
      </c>
      <c r="O202" s="351">
        <f t="shared" si="29"/>
        <v>0</v>
      </c>
      <c r="P202" s="351">
        <f t="shared" si="29"/>
        <v>0</v>
      </c>
      <c r="Q202" s="351">
        <f t="shared" si="29"/>
        <v>0</v>
      </c>
      <c r="R202" s="351">
        <f t="shared" si="29"/>
        <v>0</v>
      </c>
      <c r="S202" s="351">
        <f t="shared" si="29"/>
        <v>0</v>
      </c>
      <c r="T202" s="351">
        <f t="shared" si="29"/>
        <v>0</v>
      </c>
      <c r="U202" s="351">
        <f t="shared" si="29"/>
        <v>0</v>
      </c>
      <c r="V202" s="335"/>
      <c r="W202" s="335"/>
      <c r="X202" s="332"/>
      <c r="Y202" s="332"/>
      <c r="Z202" s="335"/>
      <c r="AA202" s="335"/>
      <c r="AB202" s="333"/>
      <c r="AE202" s="316"/>
    </row>
    <row r="203" spans="1:31" ht="42.6" hidden="1" customHeight="1">
      <c r="A203" s="359"/>
      <c r="B203" s="320" t="s">
        <v>312</v>
      </c>
      <c r="C203" s="355">
        <v>244</v>
      </c>
      <c r="D203" s="356">
        <v>225</v>
      </c>
      <c r="E203" s="336" t="s">
        <v>414</v>
      </c>
      <c r="F203" s="254"/>
      <c r="G203" s="254"/>
      <c r="H203" s="254"/>
      <c r="I203" s="254"/>
      <c r="J203" s="254"/>
      <c r="K203" s="399">
        <v>458800000</v>
      </c>
      <c r="L203" s="357"/>
      <c r="M203" s="454">
        <f>95345266+60750433+38991292+16645611+16349969+16440804+58391853+73178669+23789979.72+58800000</f>
        <v>458683876.72000003</v>
      </c>
      <c r="N203" s="251">
        <f t="shared" si="27"/>
        <v>116123.27999997139</v>
      </c>
      <c r="O203" s="252"/>
      <c r="P203" s="251"/>
      <c r="Q203" s="251"/>
      <c r="R203" s="251"/>
      <c r="S203" s="335"/>
      <c r="T203" s="335"/>
      <c r="U203" s="335"/>
      <c r="V203" s="401">
        <f>39050488+56294778</f>
        <v>95345266</v>
      </c>
      <c r="W203" s="401">
        <f>60750433+38991292+16645611+16349969+16440804+58391853+73178669</f>
        <v>280748631</v>
      </c>
      <c r="X203" s="332">
        <v>23789979.719999999</v>
      </c>
      <c r="Y203" s="332"/>
      <c r="Z203" s="335"/>
      <c r="AA203" s="408">
        <v>58800000</v>
      </c>
      <c r="AB203" s="333"/>
      <c r="AE203" s="316"/>
    </row>
    <row r="204" spans="1:31" ht="39.6" hidden="1" customHeight="1">
      <c r="A204" s="359"/>
      <c r="B204" s="320" t="s">
        <v>312</v>
      </c>
      <c r="C204" s="355">
        <v>414</v>
      </c>
      <c r="D204" s="356">
        <v>310</v>
      </c>
      <c r="E204" s="336" t="s">
        <v>407</v>
      </c>
      <c r="F204" s="254"/>
      <c r="G204" s="254"/>
      <c r="H204" s="254"/>
      <c r="I204" s="254"/>
      <c r="J204" s="254"/>
      <c r="K204" s="399">
        <v>325840130</v>
      </c>
      <c r="L204" s="357"/>
      <c r="M204" s="454">
        <f>47013624+85030180+90000000+103796326</f>
        <v>325840130</v>
      </c>
      <c r="N204" s="251">
        <f t="shared" si="27"/>
        <v>0</v>
      </c>
      <c r="O204" s="252"/>
      <c r="P204" s="251"/>
      <c r="Q204" s="251"/>
      <c r="R204" s="251"/>
      <c r="S204" s="335"/>
      <c r="T204" s="335"/>
      <c r="U204" s="335"/>
      <c r="V204" s="401">
        <v>90000000</v>
      </c>
      <c r="W204" s="401"/>
      <c r="X204" s="332">
        <v>103796326</v>
      </c>
      <c r="Y204" s="332"/>
      <c r="Z204" s="335"/>
      <c r="AA204" s="335"/>
      <c r="AB204" s="333"/>
      <c r="AE204" s="316"/>
    </row>
    <row r="205" spans="1:31" ht="23.4" hidden="1" customHeight="1">
      <c r="A205" s="359"/>
      <c r="B205" s="289"/>
      <c r="C205" s="360"/>
      <c r="D205" s="360"/>
      <c r="E205" s="361" t="s">
        <v>105</v>
      </c>
      <c r="F205" s="362"/>
      <c r="G205" s="362"/>
      <c r="H205" s="362"/>
      <c r="I205" s="362"/>
      <c r="J205" s="362"/>
      <c r="K205" s="363">
        <f>K190+K197+K202+K203+K204</f>
        <v>3678603860</v>
      </c>
      <c r="L205" s="363">
        <f>L190+L191+L194+L195+L196+L198+L199+L200+L204</f>
        <v>0</v>
      </c>
      <c r="M205" s="464">
        <f t="shared" ref="M205:AB205" si="30">M190+M197+M202+M203+M204</f>
        <v>3002324253.2299995</v>
      </c>
      <c r="N205" s="363">
        <f t="shared" si="30"/>
        <v>810509100.57000005</v>
      </c>
      <c r="O205" s="363">
        <f t="shared" si="30"/>
        <v>0</v>
      </c>
      <c r="P205" s="363">
        <f t="shared" si="30"/>
        <v>0</v>
      </c>
      <c r="Q205" s="363">
        <f t="shared" si="30"/>
        <v>0</v>
      </c>
      <c r="R205" s="363">
        <f t="shared" si="30"/>
        <v>0</v>
      </c>
      <c r="S205" s="363">
        <f t="shared" si="30"/>
        <v>0</v>
      </c>
      <c r="T205" s="363">
        <f t="shared" si="30"/>
        <v>0</v>
      </c>
      <c r="U205" s="363">
        <f t="shared" si="30"/>
        <v>0</v>
      </c>
      <c r="V205" s="363">
        <f t="shared" si="30"/>
        <v>185345266</v>
      </c>
      <c r="W205" s="363">
        <f t="shared" si="30"/>
        <v>280748631</v>
      </c>
      <c r="X205" s="363">
        <f t="shared" si="30"/>
        <v>127586305.72</v>
      </c>
      <c r="Y205" s="363">
        <f t="shared" si="30"/>
        <v>0</v>
      </c>
      <c r="Z205" s="363">
        <f t="shared" si="30"/>
        <v>0</v>
      </c>
      <c r="AA205" s="363">
        <f t="shared" si="30"/>
        <v>58800000</v>
      </c>
      <c r="AB205" s="363">
        <f t="shared" si="30"/>
        <v>0</v>
      </c>
      <c r="AE205" s="316"/>
    </row>
    <row r="206" spans="1:31" ht="22.2" hidden="1" customHeight="1">
      <c r="A206" s="359"/>
      <c r="B206" s="481" t="s">
        <v>39</v>
      </c>
      <c r="C206" s="482"/>
      <c r="D206" s="482"/>
      <c r="E206" s="483"/>
      <c r="F206" s="254"/>
      <c r="G206" s="254"/>
      <c r="H206" s="254"/>
      <c r="I206" s="254"/>
      <c r="J206" s="254"/>
      <c r="K206" s="364">
        <f>K159+K205</f>
        <v>3727828784</v>
      </c>
      <c r="L206" s="364">
        <f>L159+L205</f>
        <v>0</v>
      </c>
      <c r="M206" s="314">
        <f>M159+M205</f>
        <v>3046211197.2999997</v>
      </c>
      <c r="N206" s="364">
        <f>N159+N205</f>
        <v>815823370.5</v>
      </c>
      <c r="O206" s="364">
        <f>O159+O205</f>
        <v>2010</v>
      </c>
      <c r="P206" s="364">
        <f>193002014-2000000</f>
        <v>191002014</v>
      </c>
      <c r="Q206" s="364">
        <v>89383734</v>
      </c>
      <c r="R206" s="364">
        <f>54748910+18000000</f>
        <v>72748910</v>
      </c>
      <c r="S206" s="364">
        <f>41572987+8500000</f>
        <v>50072987</v>
      </c>
      <c r="T206" s="364">
        <v>101907447</v>
      </c>
      <c r="U206" s="364">
        <f>238039269+47013624+85030180</f>
        <v>370083073</v>
      </c>
      <c r="V206" s="364">
        <f>477617535+185345266</f>
        <v>662962801</v>
      </c>
      <c r="W206" s="365">
        <f>620085905+60750433+38991292+16645611+16349969+16440804+58391853+73178669</f>
        <v>900834536</v>
      </c>
      <c r="X206" s="364">
        <f>347470385+127586305.72</f>
        <v>475056690.72000003</v>
      </c>
      <c r="Y206" s="364">
        <v>3815300</v>
      </c>
      <c r="Z206" s="364">
        <v>450970445</v>
      </c>
      <c r="AA206" s="364">
        <f>3557100+66835+AA203</f>
        <v>62423935</v>
      </c>
      <c r="AB206" s="333">
        <f>P206+Q206+R206+S206+T206+U206+V206+W206+X206+Y206+Z206+AA206-M206</f>
        <v>385050675.42000055</v>
      </c>
      <c r="AE206" s="316"/>
    </row>
    <row r="207" spans="1:31" ht="22.95" hidden="1" customHeight="1">
      <c r="B207" s="366"/>
      <c r="C207" s="366"/>
      <c r="D207" s="366"/>
      <c r="E207" s="366"/>
      <c r="K207" s="367"/>
      <c r="L207" s="368"/>
      <c r="M207" s="367"/>
      <c r="N207" s="367"/>
      <c r="O207" s="367"/>
      <c r="P207" s="367"/>
      <c r="Q207" s="367"/>
      <c r="R207" s="367"/>
      <c r="S207" s="367"/>
      <c r="T207" s="367"/>
      <c r="U207" s="367"/>
      <c r="V207" s="367"/>
      <c r="W207" s="367"/>
      <c r="X207" s="367"/>
      <c r="Y207" s="367"/>
      <c r="Z207" s="367"/>
      <c r="AA207" s="367"/>
      <c r="AB207" s="367"/>
    </row>
    <row r="208" spans="1:31" ht="13.95" hidden="1" customHeight="1">
      <c r="B208" s="366"/>
      <c r="C208" s="366"/>
      <c r="D208" s="366"/>
      <c r="E208" s="369"/>
      <c r="K208" s="367"/>
      <c r="L208" s="368"/>
      <c r="M208" s="367"/>
      <c r="N208" s="367"/>
      <c r="O208" s="367"/>
      <c r="P208" s="367"/>
      <c r="Q208" s="367"/>
      <c r="R208" s="367"/>
      <c r="S208" s="367"/>
      <c r="T208" s="367"/>
      <c r="U208" s="367"/>
      <c r="V208" s="367"/>
      <c r="W208" s="367"/>
      <c r="X208" s="367"/>
      <c r="Y208" s="367"/>
      <c r="Z208" s="367"/>
      <c r="AA208" s="367"/>
    </row>
    <row r="209" spans="1:28" ht="13.95" hidden="1" customHeight="1">
      <c r="B209" s="366"/>
      <c r="C209" s="366"/>
      <c r="D209" s="366"/>
      <c r="E209" s="366"/>
      <c r="L209" s="368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7"/>
      <c r="X209" s="367"/>
      <c r="Y209" s="367"/>
      <c r="Z209" s="367"/>
      <c r="AA209" s="367"/>
      <c r="AB209" s="370"/>
    </row>
    <row r="210" spans="1:28" ht="25.2" hidden="1" customHeight="1">
      <c r="B210" s="366"/>
      <c r="C210" s="366"/>
      <c r="D210" s="366"/>
      <c r="E210" s="366"/>
      <c r="K210" s="367"/>
      <c r="L210" s="368"/>
      <c r="M210" s="367"/>
      <c r="N210" s="367"/>
      <c r="O210" s="367"/>
      <c r="P210" s="367"/>
      <c r="Q210" s="367"/>
      <c r="R210" s="367"/>
      <c r="S210" s="367"/>
      <c r="T210" s="367"/>
      <c r="U210" s="367"/>
      <c r="V210" s="367"/>
      <c r="W210" s="367"/>
      <c r="Y210" s="371"/>
      <c r="Z210" s="367"/>
      <c r="AA210" s="367"/>
      <c r="AB210" s="372"/>
    </row>
    <row r="211" spans="1:28" ht="43.95" hidden="1" customHeight="1">
      <c r="B211" s="366"/>
      <c r="C211" s="366"/>
      <c r="D211" s="366"/>
      <c r="E211" s="366"/>
      <c r="K211" s="373"/>
      <c r="L211" s="368"/>
      <c r="M211" s="374"/>
      <c r="Q211" s="377"/>
      <c r="R211" s="231"/>
      <c r="S211" s="221"/>
      <c r="T211" s="221"/>
      <c r="U211" s="221"/>
      <c r="V211" s="221"/>
      <c r="W211" s="221"/>
      <c r="Y211" s="376" t="s">
        <v>244</v>
      </c>
      <c r="Z211" s="376" t="s">
        <v>244</v>
      </c>
      <c r="AA211" s="231"/>
      <c r="AB211" s="306">
        <f>P206+Q206+R206+S206+T206+U206+V206+W206+X206+Y206+Z206+AA206</f>
        <v>3431261872.7200003</v>
      </c>
    </row>
    <row r="212" spans="1:28" ht="13.2" hidden="1" customHeight="1">
      <c r="E212" s="377"/>
      <c r="M212" s="373"/>
      <c r="R212" s="379"/>
      <c r="S212" s="380"/>
      <c r="W212" s="380"/>
      <c r="X212" s="380"/>
      <c r="Y212" s="378" t="s">
        <v>257</v>
      </c>
      <c r="Z212" s="378" t="s">
        <v>257</v>
      </c>
      <c r="AA212" s="380"/>
    </row>
    <row r="213" spans="1:28" ht="18" hidden="1" customHeight="1">
      <c r="F213" s="381"/>
      <c r="G213" s="381"/>
      <c r="H213" s="381"/>
      <c r="I213" s="381"/>
      <c r="J213" s="381"/>
      <c r="K213" s="382"/>
      <c r="L213" s="381"/>
      <c r="M213" s="383"/>
      <c r="Q213" s="385"/>
      <c r="R213" s="378"/>
      <c r="S213" s="386"/>
      <c r="T213" s="386"/>
      <c r="U213" s="386"/>
      <c r="V213" s="386"/>
      <c r="W213" s="386"/>
      <c r="Y213" s="384" t="s">
        <v>258</v>
      </c>
      <c r="Z213" s="384" t="s">
        <v>258</v>
      </c>
      <c r="AA213" s="386"/>
      <c r="AB213" s="405">
        <f>47013624+85030180+185345266+60750433+38991292+16645611+16349969+16440804+58391853+73178669+127586305.72+58800000</f>
        <v>784524006.72000003</v>
      </c>
    </row>
    <row r="214" spans="1:28" ht="17.399999999999999" customHeight="1">
      <c r="A214" s="224" t="s">
        <v>139</v>
      </c>
      <c r="E214" s="387"/>
      <c r="F214" s="388"/>
      <c r="G214" s="388"/>
      <c r="H214" s="388"/>
      <c r="I214" s="388"/>
      <c r="J214" s="388"/>
      <c r="K214" s="388"/>
      <c r="M214" s="383"/>
      <c r="S214" s="389"/>
      <c r="T214" s="389"/>
      <c r="U214" s="389"/>
      <c r="V214" s="389"/>
      <c r="W214" s="389"/>
      <c r="Y214" s="384" t="s">
        <v>259</v>
      </c>
      <c r="Z214" s="384" t="s">
        <v>259</v>
      </c>
      <c r="AA214" s="389"/>
      <c r="AB214" s="315">
        <f>AB211-AB213</f>
        <v>2646737866</v>
      </c>
    </row>
    <row r="215" spans="1:28" ht="13.2" hidden="1" customHeight="1">
      <c r="E215" s="388"/>
      <c r="F215" s="388"/>
      <c r="G215" s="388"/>
      <c r="H215" s="388"/>
      <c r="I215" s="388"/>
      <c r="J215" s="388"/>
      <c r="K215" s="388"/>
      <c r="M215" s="383"/>
      <c r="N215" s="390" t="s">
        <v>246</v>
      </c>
      <c r="O215" s="390" t="s">
        <v>256</v>
      </c>
      <c r="P215" s="390"/>
      <c r="Q215" s="390"/>
      <c r="S215" s="378"/>
      <c r="T215" s="490" t="s">
        <v>226</v>
      </c>
      <c r="U215" s="490"/>
      <c r="V215" s="490"/>
      <c r="W215" s="490"/>
      <c r="X215" s="490"/>
      <c r="Y215" s="490"/>
      <c r="Z215" s="490"/>
      <c r="AA215" s="378"/>
      <c r="AB215" s="391">
        <v>0.95</v>
      </c>
    </row>
    <row r="216" spans="1:28">
      <c r="E216" s="467"/>
    </row>
    <row r="217" spans="1:28">
      <c r="O217" s="224"/>
    </row>
    <row r="221" spans="1:28">
      <c r="Y221" s="373" t="s">
        <v>245</v>
      </c>
      <c r="Z221" s="373" t="s">
        <v>245</v>
      </c>
      <c r="AB221" s="392">
        <f>M206/AB211*100</f>
        <v>88.778161221639238</v>
      </c>
    </row>
    <row r="233" spans="2:2">
      <c r="B233" s="395" t="s">
        <v>323</v>
      </c>
    </row>
  </sheetData>
  <mergeCells count="20">
    <mergeCell ref="B1:AB1"/>
    <mergeCell ref="B2:AB2"/>
    <mergeCell ref="A4:A5"/>
    <mergeCell ref="B4:B5"/>
    <mergeCell ref="C4:C5"/>
    <mergeCell ref="D4:D5"/>
    <mergeCell ref="E4:E5"/>
    <mergeCell ref="F4:F5"/>
    <mergeCell ref="G4:G5"/>
    <mergeCell ref="I4:I5"/>
    <mergeCell ref="P4:AA4"/>
    <mergeCell ref="AB4:AB5"/>
    <mergeCell ref="B206:E206"/>
    <mergeCell ref="T215:Z215"/>
    <mergeCell ref="J4:J5"/>
    <mergeCell ref="K4:K5"/>
    <mergeCell ref="L4:L5"/>
    <mergeCell ref="M4:M5"/>
    <mergeCell ref="N4:N5"/>
    <mergeCell ref="O4:O5"/>
  </mergeCells>
  <pageMargins left="0.94488188976377963" right="0.23622047244094491" top="0.31496062992125984" bottom="0.35433070866141736" header="0.23622047244094491" footer="0.23622047244094491"/>
  <pageSetup paperSize="9" scale="87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январь</vt:lpstr>
      <vt:lpstr>февраль</vt:lpstr>
      <vt:lpstr>декабрь</vt:lpstr>
      <vt:lpstr>декабрь!Заголовки_для_печати</vt:lpstr>
      <vt:lpstr>февраль!Заголовки_для_печати</vt:lpstr>
      <vt:lpstr>январь!Заголовки_для_печати</vt:lpstr>
      <vt:lpstr>декабрь!Область_печати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Сычева</dc:creator>
  <cp:lastModifiedBy>Анисимова</cp:lastModifiedBy>
  <cp:lastPrinted>2017-01-31T08:15:13Z</cp:lastPrinted>
  <dcterms:created xsi:type="dcterms:W3CDTF">2001-04-02T10:02:45Z</dcterms:created>
  <dcterms:modified xsi:type="dcterms:W3CDTF">2017-01-31T14:16:06Z</dcterms:modified>
</cp:coreProperties>
</file>